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H:\Compensation\Compensation Plan\Comp Plan FY July 2025 - June 2026\"/>
    </mc:Choice>
  </mc:AlternateContent>
  <xr:revisionPtr revIDLastSave="0" documentId="13_ncr:1_{FF974AF5-A746-4D00-9E4E-19F0015052BF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tep Plan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98" i="1" l="1"/>
  <c r="AA198" i="1"/>
  <c r="Z198" i="1"/>
  <c r="Y198" i="1"/>
  <c r="X198" i="1"/>
  <c r="W198" i="1"/>
  <c r="V198" i="1"/>
  <c r="U198" i="1"/>
  <c r="T198" i="1"/>
  <c r="S198" i="1"/>
  <c r="R198" i="1"/>
  <c r="Q198" i="1"/>
  <c r="P198" i="1"/>
  <c r="O198" i="1"/>
  <c r="N198" i="1"/>
  <c r="M198" i="1"/>
  <c r="L198" i="1"/>
  <c r="K198" i="1"/>
  <c r="J198" i="1"/>
  <c r="I198" i="1"/>
  <c r="H198" i="1"/>
  <c r="G198" i="1"/>
  <c r="F198" i="1"/>
  <c r="E198" i="1"/>
  <c r="D198" i="1"/>
  <c r="C198" i="1"/>
  <c r="AB196" i="1"/>
  <c r="AA196" i="1"/>
  <c r="Z196" i="1"/>
  <c r="Y196" i="1"/>
  <c r="X196" i="1"/>
  <c r="W196" i="1"/>
  <c r="V196" i="1"/>
  <c r="U196" i="1"/>
  <c r="T196" i="1"/>
  <c r="S196" i="1"/>
  <c r="R196" i="1"/>
  <c r="Q196" i="1"/>
  <c r="P196" i="1"/>
  <c r="O196" i="1"/>
  <c r="N196" i="1"/>
  <c r="M196" i="1"/>
  <c r="L196" i="1"/>
  <c r="K196" i="1"/>
  <c r="J196" i="1"/>
  <c r="I196" i="1"/>
  <c r="H196" i="1"/>
  <c r="G196" i="1"/>
  <c r="F196" i="1"/>
  <c r="E196" i="1"/>
  <c r="D196" i="1"/>
  <c r="C196" i="1"/>
  <c r="AB120" i="1"/>
  <c r="AA120" i="1"/>
  <c r="Z120" i="1"/>
  <c r="Y120" i="1"/>
  <c r="X120" i="1"/>
  <c r="W120" i="1"/>
  <c r="V120" i="1"/>
  <c r="U120" i="1"/>
  <c r="T120" i="1"/>
  <c r="S120" i="1"/>
  <c r="R120" i="1"/>
  <c r="Q120" i="1"/>
  <c r="P120" i="1"/>
  <c r="O120" i="1"/>
  <c r="N120" i="1"/>
  <c r="M120" i="1"/>
  <c r="L120" i="1"/>
  <c r="K120" i="1"/>
  <c r="J120" i="1"/>
  <c r="I120" i="1"/>
  <c r="H120" i="1"/>
  <c r="G120" i="1"/>
  <c r="F120" i="1"/>
  <c r="E120" i="1"/>
  <c r="D120" i="1"/>
  <c r="C120" i="1"/>
  <c r="AB210" i="1"/>
  <c r="AA210" i="1"/>
  <c r="Z210" i="1"/>
  <c r="Y210" i="1"/>
  <c r="X210" i="1"/>
  <c r="W210" i="1"/>
  <c r="V210" i="1"/>
  <c r="U210" i="1"/>
  <c r="T210" i="1"/>
  <c r="S210" i="1"/>
  <c r="R210" i="1"/>
  <c r="Q210" i="1"/>
  <c r="P210" i="1"/>
  <c r="O210" i="1"/>
  <c r="N210" i="1"/>
  <c r="M210" i="1"/>
  <c r="L210" i="1"/>
  <c r="K210" i="1"/>
  <c r="J210" i="1"/>
  <c r="I210" i="1"/>
  <c r="H210" i="1"/>
  <c r="G210" i="1"/>
  <c r="F210" i="1"/>
  <c r="E210" i="1"/>
  <c r="D210" i="1"/>
  <c r="C210" i="1"/>
  <c r="AB249" i="1"/>
  <c r="AB248" i="1"/>
  <c r="AB247" i="1"/>
  <c r="AB246" i="1"/>
  <c r="AB245" i="1"/>
  <c r="AB244" i="1"/>
  <c r="AB243" i="1"/>
  <c r="AB242" i="1"/>
  <c r="AB241" i="1"/>
  <c r="AB240" i="1"/>
  <c r="AB239" i="1"/>
  <c r="AB238" i="1"/>
  <c r="AB237" i="1"/>
  <c r="AB236" i="1"/>
  <c r="AB235" i="1"/>
  <c r="AB234" i="1"/>
  <c r="AB233" i="1"/>
  <c r="AB232" i="1"/>
  <c r="AB231" i="1"/>
  <c r="AB230" i="1"/>
  <c r="AB229" i="1"/>
  <c r="AB228" i="1"/>
  <c r="AB227" i="1"/>
  <c r="AB226" i="1"/>
  <c r="AB225" i="1"/>
  <c r="AB224" i="1"/>
  <c r="AB223" i="1"/>
  <c r="AB222" i="1"/>
  <c r="AB221" i="1"/>
  <c r="AB220" i="1"/>
  <c r="AB219" i="1"/>
  <c r="AB218" i="1"/>
  <c r="AB217" i="1"/>
  <c r="AB216" i="1"/>
  <c r="AB215" i="1"/>
  <c r="AB214" i="1"/>
  <c r="AB213" i="1"/>
  <c r="AB212" i="1"/>
  <c r="AB211" i="1"/>
  <c r="AB209" i="1"/>
  <c r="AB208" i="1"/>
  <c r="AB207" i="1"/>
  <c r="AB206" i="1"/>
  <c r="AB205" i="1"/>
  <c r="AB204" i="1"/>
  <c r="AB203" i="1"/>
  <c r="AB202" i="1"/>
  <c r="AB201" i="1"/>
  <c r="AB200" i="1"/>
  <c r="AB199" i="1"/>
  <c r="AB197" i="1"/>
  <c r="AB195" i="1"/>
  <c r="AB194" i="1"/>
  <c r="AB193" i="1"/>
  <c r="AB192" i="1"/>
  <c r="AB191" i="1"/>
  <c r="AB190" i="1"/>
  <c r="AB189" i="1"/>
  <c r="AB188" i="1"/>
  <c r="AB187" i="1"/>
  <c r="AB186" i="1"/>
  <c r="AB185" i="1"/>
  <c r="AB184" i="1"/>
  <c r="AB183" i="1"/>
  <c r="AB182" i="1"/>
  <c r="AB181" i="1"/>
  <c r="AB180" i="1"/>
  <c r="AB179" i="1"/>
  <c r="AB178" i="1"/>
  <c r="AB177" i="1"/>
  <c r="AB176" i="1"/>
  <c r="AB175" i="1"/>
  <c r="AB174" i="1"/>
  <c r="AB173" i="1"/>
  <c r="AB172" i="1"/>
  <c r="AB171" i="1"/>
  <c r="AB170" i="1"/>
  <c r="AB169" i="1"/>
  <c r="AB168" i="1"/>
  <c r="AB167" i="1"/>
  <c r="AB166" i="1"/>
  <c r="AB165" i="1"/>
  <c r="AB164" i="1"/>
  <c r="AB163" i="1"/>
  <c r="AB162" i="1"/>
  <c r="AB161" i="1"/>
  <c r="AB160" i="1"/>
  <c r="AB159" i="1"/>
  <c r="AB158" i="1"/>
  <c r="AB157" i="1"/>
  <c r="AB151" i="1"/>
  <c r="AB156" i="1"/>
  <c r="AB154" i="1"/>
  <c r="AB153" i="1"/>
  <c r="AB152" i="1"/>
  <c r="AB150" i="1"/>
  <c r="AB155" i="1"/>
  <c r="AA155" i="1"/>
  <c r="Z155" i="1"/>
  <c r="Y155" i="1"/>
  <c r="X155" i="1"/>
  <c r="W155" i="1"/>
  <c r="V155" i="1"/>
  <c r="U155" i="1"/>
  <c r="T155" i="1"/>
  <c r="S155" i="1"/>
  <c r="R155" i="1"/>
  <c r="Q155" i="1"/>
  <c r="P155" i="1"/>
  <c r="O155" i="1"/>
  <c r="N155" i="1"/>
  <c r="M155" i="1"/>
  <c r="L155" i="1"/>
  <c r="K155" i="1"/>
  <c r="J155" i="1"/>
  <c r="I155" i="1"/>
  <c r="H155" i="1"/>
  <c r="G155" i="1"/>
  <c r="F155" i="1"/>
  <c r="E155" i="1"/>
  <c r="D155" i="1"/>
  <c r="C155" i="1"/>
  <c r="AB149" i="1"/>
  <c r="AB148" i="1"/>
  <c r="AB147" i="1"/>
  <c r="AB146" i="1"/>
  <c r="AB145" i="1"/>
  <c r="AB144" i="1"/>
  <c r="AB143" i="1"/>
  <c r="AB142" i="1"/>
  <c r="AB141" i="1"/>
  <c r="AB140" i="1"/>
  <c r="AB139" i="1"/>
  <c r="AB138" i="1"/>
  <c r="AB137" i="1"/>
  <c r="AB136" i="1"/>
  <c r="AB135" i="1"/>
  <c r="AB134" i="1"/>
  <c r="AB133" i="1"/>
  <c r="AB132" i="1"/>
  <c r="AB131" i="1"/>
  <c r="AB130" i="1"/>
  <c r="AB129" i="1"/>
  <c r="AB128" i="1"/>
  <c r="AB127" i="1"/>
  <c r="AB126" i="1"/>
  <c r="AB125" i="1"/>
  <c r="AB124" i="1"/>
  <c r="AB123" i="1"/>
  <c r="AB122" i="1"/>
  <c r="AB121" i="1"/>
  <c r="AB119" i="1"/>
  <c r="AB118" i="1"/>
  <c r="AB117" i="1"/>
  <c r="AB116" i="1"/>
  <c r="AB115" i="1"/>
  <c r="AB114" i="1"/>
  <c r="AB113" i="1"/>
  <c r="AB112" i="1"/>
  <c r="AB111" i="1"/>
  <c r="AB110" i="1"/>
  <c r="AB109" i="1"/>
  <c r="AB108" i="1"/>
  <c r="AB107" i="1"/>
  <c r="AB106" i="1"/>
  <c r="AB105" i="1"/>
  <c r="AB104" i="1"/>
  <c r="AB103" i="1"/>
  <c r="AB102" i="1"/>
  <c r="AB101" i="1"/>
  <c r="AB100" i="1"/>
  <c r="AB99" i="1"/>
  <c r="AB98" i="1"/>
  <c r="AB97" i="1"/>
  <c r="AB96" i="1"/>
  <c r="AB95" i="1"/>
  <c r="AB94" i="1"/>
  <c r="AB93" i="1"/>
  <c r="AB92" i="1"/>
  <c r="AB91" i="1"/>
  <c r="AB90" i="1"/>
  <c r="AB89" i="1"/>
  <c r="AB88" i="1"/>
  <c r="AB87" i="1"/>
  <c r="AB86" i="1"/>
  <c r="AB85" i="1"/>
  <c r="AB84" i="1"/>
  <c r="AB83" i="1"/>
  <c r="AB82" i="1"/>
  <c r="AB81" i="1"/>
  <c r="AB80" i="1"/>
  <c r="AB79" i="1"/>
  <c r="AB78" i="1"/>
  <c r="AB77" i="1"/>
  <c r="AB76" i="1"/>
  <c r="AB75" i="1"/>
  <c r="AB74" i="1"/>
  <c r="AB73" i="1"/>
  <c r="AB72" i="1"/>
  <c r="AB71" i="1"/>
  <c r="AB70" i="1"/>
  <c r="AB69" i="1"/>
  <c r="AB68" i="1"/>
  <c r="AB67" i="1"/>
  <c r="AB66" i="1"/>
  <c r="AB65" i="1"/>
  <c r="AB64" i="1"/>
  <c r="AB63" i="1"/>
  <c r="AB62" i="1"/>
  <c r="AB61" i="1"/>
  <c r="AB60" i="1"/>
  <c r="AB59" i="1"/>
  <c r="AB58" i="1"/>
  <c r="AB57" i="1"/>
  <c r="AB56" i="1"/>
  <c r="AB55" i="1"/>
  <c r="AB54" i="1"/>
  <c r="AB53" i="1"/>
  <c r="AB52" i="1"/>
  <c r="AB51" i="1"/>
  <c r="AB50" i="1"/>
  <c r="AB49" i="1"/>
  <c r="AB48" i="1"/>
  <c r="AB47" i="1"/>
  <c r="AB46" i="1"/>
  <c r="AB45" i="1"/>
  <c r="AB44" i="1"/>
  <c r="AB43" i="1"/>
  <c r="AB42" i="1"/>
  <c r="AB41" i="1"/>
  <c r="AB40" i="1"/>
  <c r="AB39" i="1"/>
  <c r="AB38" i="1"/>
  <c r="AB37" i="1"/>
  <c r="AB36" i="1"/>
  <c r="AB35" i="1"/>
  <c r="AB34" i="1"/>
  <c r="AB33" i="1"/>
  <c r="AB32" i="1"/>
  <c r="AB31" i="1"/>
  <c r="AB30" i="1"/>
  <c r="AB29" i="1"/>
  <c r="AB28" i="1"/>
  <c r="AB27" i="1"/>
  <c r="AB26" i="1"/>
  <c r="AB25" i="1"/>
  <c r="AB24" i="1"/>
  <c r="AB23" i="1"/>
  <c r="AB22" i="1"/>
  <c r="AB21" i="1"/>
  <c r="AB20" i="1"/>
  <c r="AB19" i="1"/>
  <c r="AB18" i="1"/>
  <c r="AB17" i="1"/>
  <c r="AB16" i="1"/>
  <c r="AB15" i="1"/>
  <c r="AB14" i="1"/>
  <c r="AB13" i="1"/>
  <c r="AB12" i="1"/>
  <c r="AB11" i="1"/>
  <c r="AB10" i="1"/>
  <c r="AB9" i="1"/>
  <c r="AB8" i="1"/>
  <c r="AB7" i="1"/>
  <c r="AB6" i="1"/>
  <c r="AB5" i="1"/>
  <c r="AB4" i="1"/>
  <c r="AB3" i="1"/>
  <c r="AB2" i="1"/>
  <c r="AA249" i="1"/>
  <c r="AA248" i="1"/>
  <c r="AA247" i="1"/>
  <c r="AA246" i="1"/>
  <c r="AA245" i="1"/>
  <c r="AA244" i="1"/>
  <c r="AA243" i="1"/>
  <c r="AA242" i="1"/>
  <c r="AA241" i="1"/>
  <c r="AA240" i="1"/>
  <c r="AA239" i="1"/>
  <c r="AA238" i="1"/>
  <c r="AA237" i="1"/>
  <c r="AA236" i="1"/>
  <c r="AA235" i="1"/>
  <c r="AA234" i="1"/>
  <c r="AA233" i="1"/>
  <c r="AA232" i="1"/>
  <c r="AA231" i="1"/>
  <c r="AA230" i="1"/>
  <c r="AA229" i="1"/>
  <c r="AA228" i="1"/>
  <c r="AA227" i="1"/>
  <c r="AA226" i="1"/>
  <c r="AA225" i="1"/>
  <c r="AA224" i="1"/>
  <c r="AA223" i="1"/>
  <c r="AA222" i="1"/>
  <c r="AA221" i="1"/>
  <c r="AA220" i="1"/>
  <c r="AA219" i="1"/>
  <c r="AA218" i="1"/>
  <c r="AA217" i="1"/>
  <c r="AA216" i="1"/>
  <c r="AA215" i="1"/>
  <c r="AA214" i="1"/>
  <c r="AA213" i="1"/>
  <c r="AA212" i="1"/>
  <c r="AA211" i="1"/>
  <c r="AA209" i="1"/>
  <c r="AA208" i="1"/>
  <c r="AA207" i="1"/>
  <c r="AA206" i="1"/>
  <c r="AA205" i="1"/>
  <c r="AA204" i="1"/>
  <c r="AA203" i="1"/>
  <c r="AA202" i="1"/>
  <c r="AA201" i="1"/>
  <c r="AA200" i="1"/>
  <c r="AA199" i="1"/>
  <c r="AA197" i="1"/>
  <c r="AA195" i="1"/>
  <c r="AA194" i="1"/>
  <c r="AA193" i="1"/>
  <c r="AA192" i="1"/>
  <c r="AA191" i="1"/>
  <c r="AA190" i="1"/>
  <c r="AA189" i="1"/>
  <c r="AA188" i="1"/>
  <c r="AA187" i="1"/>
  <c r="AA186" i="1"/>
  <c r="AA185" i="1"/>
  <c r="AA184" i="1"/>
  <c r="AA183" i="1"/>
  <c r="AA182" i="1"/>
  <c r="AA181" i="1"/>
  <c r="AA180" i="1"/>
  <c r="AA179" i="1"/>
  <c r="AA178" i="1"/>
  <c r="AA177" i="1"/>
  <c r="AA176" i="1"/>
  <c r="AA175" i="1"/>
  <c r="AA174" i="1"/>
  <c r="AA173" i="1"/>
  <c r="AA172" i="1"/>
  <c r="AA171" i="1"/>
  <c r="AA170" i="1"/>
  <c r="AA169" i="1"/>
  <c r="AA168" i="1"/>
  <c r="AA167" i="1"/>
  <c r="AA166" i="1"/>
  <c r="AA165" i="1"/>
  <c r="AA164" i="1"/>
  <c r="AA163" i="1"/>
  <c r="AA162" i="1"/>
  <c r="AA161" i="1"/>
  <c r="AA160" i="1"/>
  <c r="AA159" i="1"/>
  <c r="AA158" i="1"/>
  <c r="AA157" i="1"/>
  <c r="AA156" i="1"/>
  <c r="AA154" i="1"/>
  <c r="AA153" i="1"/>
  <c r="AA152" i="1"/>
  <c r="AA151" i="1"/>
  <c r="AA150" i="1"/>
  <c r="AA149" i="1"/>
  <c r="AA148" i="1"/>
  <c r="AA147" i="1"/>
  <c r="AA146" i="1"/>
  <c r="AA145" i="1"/>
  <c r="AA144" i="1"/>
  <c r="AA143" i="1"/>
  <c r="AA142" i="1"/>
  <c r="AA141" i="1"/>
  <c r="AA140" i="1"/>
  <c r="AA139" i="1"/>
  <c r="AA138" i="1"/>
  <c r="AA137" i="1"/>
  <c r="AA136" i="1"/>
  <c r="AA135" i="1"/>
  <c r="AA134" i="1"/>
  <c r="AA133" i="1"/>
  <c r="AA132" i="1"/>
  <c r="AA131" i="1"/>
  <c r="AA130" i="1"/>
  <c r="AA129" i="1"/>
  <c r="AA128" i="1"/>
  <c r="AA127" i="1"/>
  <c r="AA126" i="1"/>
  <c r="AA125" i="1"/>
  <c r="AA124" i="1"/>
  <c r="AA123" i="1"/>
  <c r="AA122" i="1"/>
  <c r="AA121" i="1"/>
  <c r="AA119" i="1"/>
  <c r="AA118" i="1"/>
  <c r="AA117" i="1"/>
  <c r="AA116" i="1"/>
  <c r="AA115" i="1"/>
  <c r="AA114" i="1"/>
  <c r="AA113" i="1"/>
  <c r="AA112" i="1"/>
  <c r="AA111" i="1"/>
  <c r="AA110" i="1"/>
  <c r="AA109" i="1"/>
  <c r="AA108" i="1"/>
  <c r="AA107" i="1"/>
  <c r="AA106" i="1"/>
  <c r="AA105" i="1"/>
  <c r="AA104" i="1"/>
  <c r="AA103" i="1"/>
  <c r="AA102" i="1"/>
  <c r="AA101" i="1"/>
  <c r="AA100" i="1"/>
  <c r="AA99" i="1"/>
  <c r="AA98" i="1"/>
  <c r="AA97" i="1"/>
  <c r="AA96" i="1"/>
  <c r="AA95" i="1"/>
  <c r="AA94" i="1"/>
  <c r="AA93" i="1"/>
  <c r="AA92" i="1"/>
  <c r="AA91" i="1"/>
  <c r="AA90" i="1"/>
  <c r="AA89" i="1"/>
  <c r="AA88" i="1"/>
  <c r="AA87" i="1"/>
  <c r="AA86" i="1"/>
  <c r="AA85" i="1"/>
  <c r="AA84" i="1"/>
  <c r="AA83" i="1"/>
  <c r="AA82" i="1"/>
  <c r="AA81" i="1"/>
  <c r="AA80" i="1"/>
  <c r="AA79" i="1"/>
  <c r="AA78" i="1"/>
  <c r="AA77" i="1"/>
  <c r="AA76" i="1"/>
  <c r="AA75" i="1"/>
  <c r="AA74" i="1"/>
  <c r="AA73" i="1"/>
  <c r="AA72" i="1"/>
  <c r="AA71" i="1"/>
  <c r="AA70" i="1"/>
  <c r="AA69" i="1"/>
  <c r="AA68" i="1"/>
  <c r="AA67" i="1"/>
  <c r="AA66" i="1"/>
  <c r="AA65" i="1"/>
  <c r="AA64" i="1"/>
  <c r="AA63" i="1"/>
  <c r="AA62" i="1"/>
  <c r="AA61" i="1"/>
  <c r="AA60" i="1"/>
  <c r="AA59" i="1"/>
  <c r="AA58" i="1"/>
  <c r="AA57" i="1"/>
  <c r="AA56" i="1"/>
  <c r="AA55" i="1"/>
  <c r="AA54" i="1"/>
  <c r="AA53" i="1"/>
  <c r="AA52" i="1"/>
  <c r="AA51" i="1"/>
  <c r="AA50" i="1"/>
  <c r="AA49" i="1"/>
  <c r="AA48" i="1"/>
  <c r="AA47" i="1"/>
  <c r="AA46" i="1"/>
  <c r="AA45" i="1"/>
  <c r="AA44" i="1"/>
  <c r="AA43" i="1"/>
  <c r="AA42" i="1"/>
  <c r="AA41" i="1"/>
  <c r="AA40" i="1"/>
  <c r="AA39" i="1"/>
  <c r="AA38" i="1"/>
  <c r="AA37" i="1"/>
  <c r="AA36" i="1"/>
  <c r="AA35" i="1"/>
  <c r="AA34" i="1"/>
  <c r="AA33" i="1"/>
  <c r="AA32" i="1"/>
  <c r="AA31" i="1"/>
  <c r="AA30" i="1"/>
  <c r="AA29" i="1"/>
  <c r="AA28" i="1"/>
  <c r="AA27" i="1"/>
  <c r="AA26" i="1"/>
  <c r="AA25" i="1"/>
  <c r="AA24" i="1"/>
  <c r="AA23" i="1"/>
  <c r="AA22" i="1"/>
  <c r="AA21" i="1"/>
  <c r="AA20" i="1"/>
  <c r="AA19" i="1"/>
  <c r="AA18" i="1"/>
  <c r="AA17" i="1"/>
  <c r="AA16" i="1"/>
  <c r="AA15" i="1"/>
  <c r="AA14" i="1"/>
  <c r="AA13" i="1"/>
  <c r="AA12" i="1"/>
  <c r="AA11" i="1"/>
  <c r="AA10" i="1"/>
  <c r="AA9" i="1"/>
  <c r="AA8" i="1"/>
  <c r="AA7" i="1"/>
  <c r="AA6" i="1"/>
  <c r="AA5" i="1"/>
  <c r="AA4" i="1"/>
  <c r="AA3" i="1"/>
  <c r="AA2" i="1"/>
  <c r="Z249" i="1"/>
  <c r="Z248" i="1"/>
  <c r="Z247" i="1"/>
  <c r="Z246" i="1"/>
  <c r="Z245" i="1"/>
  <c r="Z244" i="1"/>
  <c r="Z243" i="1"/>
  <c r="Z242" i="1"/>
  <c r="Z241" i="1"/>
  <c r="Z240" i="1"/>
  <c r="Z239" i="1"/>
  <c r="Z238" i="1"/>
  <c r="Z237" i="1"/>
  <c r="Z236" i="1"/>
  <c r="Z235" i="1"/>
  <c r="Z234" i="1"/>
  <c r="Z233" i="1"/>
  <c r="Z232" i="1"/>
  <c r="Z231" i="1"/>
  <c r="Z230" i="1"/>
  <c r="Z229" i="1"/>
  <c r="Z228" i="1"/>
  <c r="Z227" i="1"/>
  <c r="Z226" i="1"/>
  <c r="Z225" i="1"/>
  <c r="Z224" i="1"/>
  <c r="Z223" i="1"/>
  <c r="Z222" i="1"/>
  <c r="Z221" i="1"/>
  <c r="Z220" i="1"/>
  <c r="Z219" i="1"/>
  <c r="Z218" i="1"/>
  <c r="Z217" i="1"/>
  <c r="Z216" i="1"/>
  <c r="Z215" i="1"/>
  <c r="Z214" i="1"/>
  <c r="Z213" i="1"/>
  <c r="Z212" i="1"/>
  <c r="Z211" i="1"/>
  <c r="Z209" i="1"/>
  <c r="Z208" i="1"/>
  <c r="Z207" i="1"/>
  <c r="Z206" i="1"/>
  <c r="Z205" i="1"/>
  <c r="Z204" i="1"/>
  <c r="Z203" i="1"/>
  <c r="Z202" i="1"/>
  <c r="Z201" i="1"/>
  <c r="Z200" i="1"/>
  <c r="Z199" i="1"/>
  <c r="Z197" i="1"/>
  <c r="Z195" i="1"/>
  <c r="Z194" i="1"/>
  <c r="Z193" i="1"/>
  <c r="Z192" i="1"/>
  <c r="Z191" i="1"/>
  <c r="Z190" i="1"/>
  <c r="Z189" i="1"/>
  <c r="Z188" i="1"/>
  <c r="Z187" i="1"/>
  <c r="Z186" i="1"/>
  <c r="Z185" i="1"/>
  <c r="Z184" i="1"/>
  <c r="Z183" i="1"/>
  <c r="Z182" i="1"/>
  <c r="Z181" i="1"/>
  <c r="Z180" i="1"/>
  <c r="Z179" i="1"/>
  <c r="Z178" i="1"/>
  <c r="Z177" i="1"/>
  <c r="Z176" i="1"/>
  <c r="Z175" i="1"/>
  <c r="Z174" i="1"/>
  <c r="Z173" i="1"/>
  <c r="Z172" i="1"/>
  <c r="Z171" i="1"/>
  <c r="Z170" i="1"/>
  <c r="Z169" i="1"/>
  <c r="Z168" i="1"/>
  <c r="Z167" i="1"/>
  <c r="Z166" i="1"/>
  <c r="Z165" i="1"/>
  <c r="Z164" i="1"/>
  <c r="Z163" i="1"/>
  <c r="Z162" i="1"/>
  <c r="Z161" i="1"/>
  <c r="Z160" i="1"/>
  <c r="Z159" i="1"/>
  <c r="Z158" i="1"/>
  <c r="Z157" i="1"/>
  <c r="Z156" i="1"/>
  <c r="Z154" i="1"/>
  <c r="Z153" i="1"/>
  <c r="Z152" i="1"/>
  <c r="Z151" i="1"/>
  <c r="Z150" i="1"/>
  <c r="Z149" i="1"/>
  <c r="Z148" i="1"/>
  <c r="Z147" i="1"/>
  <c r="Z146" i="1"/>
  <c r="Z145" i="1"/>
  <c r="Z144" i="1"/>
  <c r="Z143" i="1"/>
  <c r="Z142" i="1"/>
  <c r="Z141" i="1"/>
  <c r="Z140" i="1"/>
  <c r="Z139" i="1"/>
  <c r="Z138" i="1"/>
  <c r="Z137" i="1"/>
  <c r="Z136" i="1"/>
  <c r="Z135" i="1"/>
  <c r="Z134" i="1"/>
  <c r="Z133" i="1"/>
  <c r="Z132" i="1"/>
  <c r="Z131" i="1"/>
  <c r="Z130" i="1"/>
  <c r="Z129" i="1"/>
  <c r="Z128" i="1"/>
  <c r="Z127" i="1"/>
  <c r="Z126" i="1"/>
  <c r="Z125" i="1"/>
  <c r="Z124" i="1"/>
  <c r="Z123" i="1"/>
  <c r="Z122" i="1"/>
  <c r="Z121" i="1"/>
  <c r="Z119" i="1"/>
  <c r="Z118" i="1"/>
  <c r="Z117" i="1"/>
  <c r="Z116" i="1"/>
  <c r="Z115" i="1"/>
  <c r="Z114" i="1"/>
  <c r="Z113" i="1"/>
  <c r="Z112" i="1"/>
  <c r="Z111" i="1"/>
  <c r="Z110" i="1"/>
  <c r="Z109" i="1"/>
  <c r="Z108" i="1"/>
  <c r="Z107" i="1"/>
  <c r="Z106" i="1"/>
  <c r="Z105" i="1"/>
  <c r="Z104" i="1"/>
  <c r="Z103" i="1"/>
  <c r="Z102" i="1"/>
  <c r="Z101" i="1"/>
  <c r="Z100" i="1"/>
  <c r="Z99" i="1"/>
  <c r="Z98" i="1"/>
  <c r="Z97" i="1"/>
  <c r="Z96" i="1"/>
  <c r="Z95" i="1"/>
  <c r="Z94" i="1"/>
  <c r="Z93" i="1"/>
  <c r="Z92" i="1"/>
  <c r="Z91" i="1"/>
  <c r="Z90" i="1"/>
  <c r="Z89" i="1"/>
  <c r="Z88" i="1"/>
  <c r="Z87" i="1"/>
  <c r="Z86" i="1"/>
  <c r="Z85" i="1"/>
  <c r="Z84" i="1"/>
  <c r="Z83" i="1"/>
  <c r="Z82" i="1"/>
  <c r="Z81" i="1"/>
  <c r="Z80" i="1"/>
  <c r="Z79" i="1"/>
  <c r="Z78" i="1"/>
  <c r="Z77" i="1"/>
  <c r="Z76" i="1"/>
  <c r="Z75" i="1"/>
  <c r="Z74" i="1"/>
  <c r="Z73" i="1"/>
  <c r="Z72" i="1"/>
  <c r="Z71" i="1"/>
  <c r="Z70" i="1"/>
  <c r="Z69" i="1"/>
  <c r="Z68" i="1"/>
  <c r="Z67" i="1"/>
  <c r="Z66" i="1"/>
  <c r="Z65" i="1"/>
  <c r="Z64" i="1"/>
  <c r="Z63" i="1"/>
  <c r="Z62" i="1"/>
  <c r="Z61" i="1"/>
  <c r="Z60" i="1"/>
  <c r="Z59" i="1"/>
  <c r="Z58" i="1"/>
  <c r="Z57" i="1"/>
  <c r="Z56" i="1"/>
  <c r="Z55" i="1"/>
  <c r="Z54" i="1"/>
  <c r="Z53" i="1"/>
  <c r="Z52" i="1"/>
  <c r="Z51" i="1"/>
  <c r="Z50" i="1"/>
  <c r="Z49" i="1"/>
  <c r="Z48" i="1"/>
  <c r="Z47" i="1"/>
  <c r="Z46" i="1"/>
  <c r="Z45" i="1"/>
  <c r="Z44" i="1"/>
  <c r="Z43" i="1"/>
  <c r="Z42" i="1"/>
  <c r="Z41" i="1"/>
  <c r="Z40" i="1"/>
  <c r="Z39" i="1"/>
  <c r="Z38" i="1"/>
  <c r="Z37" i="1"/>
  <c r="Z36" i="1"/>
  <c r="Z35" i="1"/>
  <c r="Z34" i="1"/>
  <c r="Z33" i="1"/>
  <c r="Z32" i="1"/>
  <c r="Z31" i="1"/>
  <c r="Z30" i="1"/>
  <c r="Z29" i="1"/>
  <c r="Z28" i="1"/>
  <c r="Z27" i="1"/>
  <c r="Z26" i="1"/>
  <c r="Z25" i="1"/>
  <c r="Z24" i="1"/>
  <c r="Z23" i="1"/>
  <c r="Z22" i="1"/>
  <c r="Z21" i="1"/>
  <c r="Z20" i="1"/>
  <c r="Z19" i="1"/>
  <c r="Z18" i="1"/>
  <c r="Z17" i="1"/>
  <c r="Z16" i="1"/>
  <c r="Z15" i="1"/>
  <c r="Z14" i="1"/>
  <c r="Z13" i="1"/>
  <c r="Z12" i="1"/>
  <c r="Z11" i="1"/>
  <c r="Z10" i="1"/>
  <c r="Z9" i="1"/>
  <c r="Z8" i="1"/>
  <c r="Z7" i="1"/>
  <c r="Z6" i="1"/>
  <c r="Z5" i="1"/>
  <c r="Z4" i="1"/>
  <c r="Z3" i="1"/>
  <c r="Z2" i="1"/>
  <c r="Y249" i="1"/>
  <c r="Y248" i="1"/>
  <c r="Y247" i="1"/>
  <c r="Y246" i="1"/>
  <c r="Y245" i="1"/>
  <c r="Y244" i="1"/>
  <c r="Y243" i="1"/>
  <c r="Y242" i="1"/>
  <c r="Y241" i="1"/>
  <c r="Y240" i="1"/>
  <c r="Y239" i="1"/>
  <c r="Y238" i="1"/>
  <c r="Y237" i="1"/>
  <c r="Y236" i="1"/>
  <c r="Y235" i="1"/>
  <c r="Y234" i="1"/>
  <c r="Y233" i="1"/>
  <c r="Y232" i="1"/>
  <c r="Y231" i="1"/>
  <c r="Y230" i="1"/>
  <c r="Y229" i="1"/>
  <c r="Y228" i="1"/>
  <c r="Y227" i="1"/>
  <c r="Y226" i="1"/>
  <c r="Y225" i="1"/>
  <c r="Y224" i="1"/>
  <c r="Y223" i="1"/>
  <c r="Y222" i="1"/>
  <c r="Y221" i="1"/>
  <c r="Y220" i="1"/>
  <c r="Y219" i="1"/>
  <c r="Y218" i="1"/>
  <c r="Y217" i="1"/>
  <c r="Y216" i="1"/>
  <c r="Y215" i="1"/>
  <c r="Y214" i="1"/>
  <c r="Y213" i="1"/>
  <c r="Y212" i="1"/>
  <c r="Y211" i="1"/>
  <c r="Y209" i="1"/>
  <c r="Y208" i="1"/>
  <c r="Y207" i="1"/>
  <c r="Y206" i="1"/>
  <c r="Y205" i="1"/>
  <c r="Y204" i="1"/>
  <c r="Y203" i="1"/>
  <c r="Y202" i="1"/>
  <c r="Y201" i="1"/>
  <c r="Y200" i="1"/>
  <c r="Y199" i="1"/>
  <c r="Y197" i="1"/>
  <c r="Y195" i="1"/>
  <c r="Y194" i="1"/>
  <c r="Y193" i="1"/>
  <c r="Y192" i="1"/>
  <c r="Y191" i="1"/>
  <c r="Y190" i="1"/>
  <c r="Y189" i="1"/>
  <c r="Y188" i="1"/>
  <c r="Y187" i="1"/>
  <c r="Y186" i="1"/>
  <c r="Y185" i="1"/>
  <c r="Y184" i="1"/>
  <c r="Y183" i="1"/>
  <c r="Y182" i="1"/>
  <c r="Y181" i="1"/>
  <c r="Y180" i="1"/>
  <c r="Y179" i="1"/>
  <c r="Y178" i="1"/>
  <c r="Y177" i="1"/>
  <c r="Y176" i="1"/>
  <c r="Y175" i="1"/>
  <c r="Y174" i="1"/>
  <c r="Y173" i="1"/>
  <c r="Y172" i="1"/>
  <c r="Y171" i="1"/>
  <c r="Y170" i="1"/>
  <c r="Y169" i="1"/>
  <c r="Y168" i="1"/>
  <c r="Y167" i="1"/>
  <c r="Y166" i="1"/>
  <c r="Y165" i="1"/>
  <c r="Y164" i="1"/>
  <c r="Y163" i="1"/>
  <c r="Y162" i="1"/>
  <c r="Y161" i="1"/>
  <c r="Y160" i="1"/>
  <c r="Y159" i="1"/>
  <c r="Y158" i="1"/>
  <c r="Y157" i="1"/>
  <c r="Y156" i="1"/>
  <c r="Y154" i="1"/>
  <c r="Y153" i="1"/>
  <c r="Y152" i="1"/>
  <c r="Y151" i="1"/>
  <c r="Y150" i="1"/>
  <c r="Y149" i="1"/>
  <c r="Y148" i="1"/>
  <c r="Y147" i="1"/>
  <c r="Y146" i="1"/>
  <c r="Y145" i="1"/>
  <c r="Y144" i="1"/>
  <c r="Y143" i="1"/>
  <c r="Y142" i="1"/>
  <c r="Y141" i="1"/>
  <c r="Y140" i="1"/>
  <c r="Y139" i="1"/>
  <c r="Y138" i="1"/>
  <c r="Y137" i="1"/>
  <c r="Y136" i="1"/>
  <c r="Y135" i="1"/>
  <c r="Y134" i="1"/>
  <c r="Y133" i="1"/>
  <c r="Y132" i="1"/>
  <c r="Y131" i="1"/>
  <c r="Y130" i="1"/>
  <c r="Y129" i="1"/>
  <c r="Y128" i="1"/>
  <c r="Y127" i="1"/>
  <c r="Y126" i="1"/>
  <c r="Y125" i="1"/>
  <c r="Y124" i="1"/>
  <c r="Y123" i="1"/>
  <c r="Y122" i="1"/>
  <c r="Y121" i="1"/>
  <c r="Y119" i="1"/>
  <c r="Y118" i="1"/>
  <c r="Y117" i="1"/>
  <c r="Y116" i="1"/>
  <c r="Y115" i="1"/>
  <c r="Y114" i="1"/>
  <c r="Y113" i="1"/>
  <c r="Y112" i="1"/>
  <c r="Y111" i="1"/>
  <c r="Y110" i="1"/>
  <c r="Y109" i="1"/>
  <c r="Y108" i="1"/>
  <c r="Y107" i="1"/>
  <c r="Y106" i="1"/>
  <c r="Y105" i="1"/>
  <c r="Y104" i="1"/>
  <c r="Y103" i="1"/>
  <c r="Y102" i="1"/>
  <c r="Y101" i="1"/>
  <c r="Y100" i="1"/>
  <c r="Y99" i="1"/>
  <c r="Y98" i="1"/>
  <c r="Y97" i="1"/>
  <c r="Y96" i="1"/>
  <c r="Y95" i="1"/>
  <c r="Y94" i="1"/>
  <c r="Y93" i="1"/>
  <c r="Y92" i="1"/>
  <c r="Y91" i="1"/>
  <c r="Y90" i="1"/>
  <c r="Y89" i="1"/>
  <c r="Y88" i="1"/>
  <c r="Y87" i="1"/>
  <c r="Y86" i="1"/>
  <c r="Y85" i="1"/>
  <c r="Y84" i="1"/>
  <c r="Y83" i="1"/>
  <c r="Y82" i="1"/>
  <c r="Y81" i="1"/>
  <c r="Y80" i="1"/>
  <c r="Y79" i="1"/>
  <c r="Y78" i="1"/>
  <c r="Y77" i="1"/>
  <c r="Y76" i="1"/>
  <c r="Y75" i="1"/>
  <c r="Y74" i="1"/>
  <c r="Y73" i="1"/>
  <c r="Y72" i="1"/>
  <c r="Y71" i="1"/>
  <c r="Y70" i="1"/>
  <c r="Y69" i="1"/>
  <c r="Y68" i="1"/>
  <c r="Y67" i="1"/>
  <c r="Y66" i="1"/>
  <c r="Y65" i="1"/>
  <c r="Y64" i="1"/>
  <c r="Y63" i="1"/>
  <c r="Y62" i="1"/>
  <c r="Y61" i="1"/>
  <c r="Y60" i="1"/>
  <c r="Y59" i="1"/>
  <c r="Y58" i="1"/>
  <c r="Y57" i="1"/>
  <c r="Y56" i="1"/>
  <c r="Y55" i="1"/>
  <c r="Y54" i="1"/>
  <c r="Y53" i="1"/>
  <c r="Y52" i="1"/>
  <c r="Y51" i="1"/>
  <c r="Y50" i="1"/>
  <c r="Y49" i="1"/>
  <c r="Y48" i="1"/>
  <c r="Y47" i="1"/>
  <c r="Y46" i="1"/>
  <c r="Y45" i="1"/>
  <c r="Y44" i="1"/>
  <c r="Y43" i="1"/>
  <c r="Y42" i="1"/>
  <c r="Y41" i="1"/>
  <c r="Y40" i="1"/>
  <c r="Y39" i="1"/>
  <c r="Y38" i="1"/>
  <c r="Y37" i="1"/>
  <c r="Y36" i="1"/>
  <c r="Y35" i="1"/>
  <c r="Y34" i="1"/>
  <c r="Y33" i="1"/>
  <c r="Y32" i="1"/>
  <c r="Y31" i="1"/>
  <c r="Y30" i="1"/>
  <c r="Y29" i="1"/>
  <c r="Y28" i="1"/>
  <c r="Y27" i="1"/>
  <c r="Y26" i="1"/>
  <c r="Y25" i="1"/>
  <c r="Y24" i="1"/>
  <c r="Y23" i="1"/>
  <c r="Y22" i="1"/>
  <c r="Y21" i="1"/>
  <c r="Y20" i="1"/>
  <c r="Y19" i="1"/>
  <c r="Y18" i="1"/>
  <c r="Y17" i="1"/>
  <c r="Y16" i="1"/>
  <c r="Y15" i="1"/>
  <c r="Y14" i="1"/>
  <c r="Y13" i="1"/>
  <c r="Y12" i="1"/>
  <c r="Y11" i="1"/>
  <c r="Y10" i="1"/>
  <c r="Y9" i="1"/>
  <c r="Y8" i="1"/>
  <c r="Y7" i="1"/>
  <c r="Y6" i="1"/>
  <c r="Y5" i="1"/>
  <c r="Y4" i="1"/>
  <c r="Y3" i="1"/>
  <c r="Y2" i="1"/>
  <c r="X249" i="1"/>
  <c r="X248" i="1"/>
  <c r="X247" i="1"/>
  <c r="X246" i="1"/>
  <c r="X245" i="1"/>
  <c r="X244" i="1"/>
  <c r="X243" i="1"/>
  <c r="X242" i="1"/>
  <c r="X241" i="1"/>
  <c r="X240" i="1"/>
  <c r="X239" i="1"/>
  <c r="X238" i="1"/>
  <c r="X237" i="1"/>
  <c r="X236" i="1"/>
  <c r="X235" i="1"/>
  <c r="X234" i="1"/>
  <c r="X233" i="1"/>
  <c r="X232" i="1"/>
  <c r="X231" i="1"/>
  <c r="X230" i="1"/>
  <c r="X229" i="1"/>
  <c r="X228" i="1"/>
  <c r="X227" i="1"/>
  <c r="X226" i="1"/>
  <c r="X225" i="1"/>
  <c r="X224" i="1"/>
  <c r="X223" i="1"/>
  <c r="X222" i="1"/>
  <c r="X221" i="1"/>
  <c r="X220" i="1"/>
  <c r="X219" i="1"/>
  <c r="X218" i="1"/>
  <c r="X217" i="1"/>
  <c r="X216" i="1"/>
  <c r="X215" i="1"/>
  <c r="X214" i="1"/>
  <c r="X213" i="1"/>
  <c r="X212" i="1"/>
  <c r="X211" i="1"/>
  <c r="X209" i="1"/>
  <c r="X208" i="1"/>
  <c r="X207" i="1"/>
  <c r="X206" i="1"/>
  <c r="X205" i="1"/>
  <c r="X204" i="1"/>
  <c r="X203" i="1"/>
  <c r="X202" i="1"/>
  <c r="X201" i="1"/>
  <c r="X200" i="1"/>
  <c r="X199" i="1"/>
  <c r="X197" i="1"/>
  <c r="X195" i="1"/>
  <c r="X194" i="1"/>
  <c r="X193" i="1"/>
  <c r="X192" i="1"/>
  <c r="X191" i="1"/>
  <c r="X190" i="1"/>
  <c r="X189" i="1"/>
  <c r="X188" i="1"/>
  <c r="X187" i="1"/>
  <c r="X186" i="1"/>
  <c r="X185" i="1"/>
  <c r="X184" i="1"/>
  <c r="X183" i="1"/>
  <c r="X182" i="1"/>
  <c r="X181" i="1"/>
  <c r="X180" i="1"/>
  <c r="X179" i="1"/>
  <c r="X178" i="1"/>
  <c r="X177" i="1"/>
  <c r="X176" i="1"/>
  <c r="X175" i="1"/>
  <c r="X174" i="1"/>
  <c r="X173" i="1"/>
  <c r="X172" i="1"/>
  <c r="X171" i="1"/>
  <c r="X170" i="1"/>
  <c r="X169" i="1"/>
  <c r="X168" i="1"/>
  <c r="X167" i="1"/>
  <c r="X166" i="1"/>
  <c r="X165" i="1"/>
  <c r="X164" i="1"/>
  <c r="X163" i="1"/>
  <c r="X162" i="1"/>
  <c r="X161" i="1"/>
  <c r="X160" i="1"/>
  <c r="X159" i="1"/>
  <c r="X158" i="1"/>
  <c r="X157" i="1"/>
  <c r="X156" i="1"/>
  <c r="X154" i="1"/>
  <c r="X153" i="1"/>
  <c r="X152" i="1"/>
  <c r="X151" i="1"/>
  <c r="X150" i="1"/>
  <c r="X149" i="1"/>
  <c r="X148" i="1"/>
  <c r="X147" i="1"/>
  <c r="X146" i="1"/>
  <c r="X145" i="1"/>
  <c r="X144" i="1"/>
  <c r="X143" i="1"/>
  <c r="X142" i="1"/>
  <c r="X141" i="1"/>
  <c r="X140" i="1"/>
  <c r="X139" i="1"/>
  <c r="X138" i="1"/>
  <c r="X137" i="1"/>
  <c r="X136" i="1"/>
  <c r="X135" i="1"/>
  <c r="X134" i="1"/>
  <c r="X133" i="1"/>
  <c r="X132" i="1"/>
  <c r="X131" i="1"/>
  <c r="X130" i="1"/>
  <c r="X129" i="1"/>
  <c r="X128" i="1"/>
  <c r="X127" i="1"/>
  <c r="X126" i="1"/>
  <c r="X125" i="1"/>
  <c r="X124" i="1"/>
  <c r="X123" i="1"/>
  <c r="X122" i="1"/>
  <c r="X121" i="1"/>
  <c r="X119" i="1"/>
  <c r="X118" i="1"/>
  <c r="X117" i="1"/>
  <c r="X116" i="1"/>
  <c r="X115" i="1"/>
  <c r="X114" i="1"/>
  <c r="X113" i="1"/>
  <c r="X112" i="1"/>
  <c r="X111" i="1"/>
  <c r="X110" i="1"/>
  <c r="X109" i="1"/>
  <c r="X108" i="1"/>
  <c r="X107" i="1"/>
  <c r="X106" i="1"/>
  <c r="X105" i="1"/>
  <c r="X104" i="1"/>
  <c r="X103" i="1"/>
  <c r="X102" i="1"/>
  <c r="X101" i="1"/>
  <c r="X100" i="1"/>
  <c r="X99" i="1"/>
  <c r="X98" i="1"/>
  <c r="X97" i="1"/>
  <c r="X96" i="1"/>
  <c r="X95" i="1"/>
  <c r="X94" i="1"/>
  <c r="X93" i="1"/>
  <c r="X92" i="1"/>
  <c r="X91" i="1"/>
  <c r="X90" i="1"/>
  <c r="X89" i="1"/>
  <c r="X88" i="1"/>
  <c r="X87" i="1"/>
  <c r="X86" i="1"/>
  <c r="X85" i="1"/>
  <c r="X84" i="1"/>
  <c r="X83" i="1"/>
  <c r="X82" i="1"/>
  <c r="X81" i="1"/>
  <c r="X80" i="1"/>
  <c r="X79" i="1"/>
  <c r="X78" i="1"/>
  <c r="X77" i="1"/>
  <c r="X76" i="1"/>
  <c r="X75" i="1"/>
  <c r="X74" i="1"/>
  <c r="X73" i="1"/>
  <c r="X72" i="1"/>
  <c r="X71" i="1"/>
  <c r="X70" i="1"/>
  <c r="X69" i="1"/>
  <c r="X68" i="1"/>
  <c r="X67" i="1"/>
  <c r="X66" i="1"/>
  <c r="X65" i="1"/>
  <c r="X64" i="1"/>
  <c r="X63" i="1"/>
  <c r="X62" i="1"/>
  <c r="X61" i="1"/>
  <c r="X60" i="1"/>
  <c r="X59" i="1"/>
  <c r="X58" i="1"/>
  <c r="X57" i="1"/>
  <c r="X56" i="1"/>
  <c r="X55" i="1"/>
  <c r="X54" i="1"/>
  <c r="X53" i="1"/>
  <c r="X52" i="1"/>
  <c r="X51" i="1"/>
  <c r="X50" i="1"/>
  <c r="X49" i="1"/>
  <c r="X48" i="1"/>
  <c r="X47" i="1"/>
  <c r="X46" i="1"/>
  <c r="X45" i="1"/>
  <c r="X44" i="1"/>
  <c r="X43" i="1"/>
  <c r="X42" i="1"/>
  <c r="X41" i="1"/>
  <c r="X40" i="1"/>
  <c r="X39" i="1"/>
  <c r="X38" i="1"/>
  <c r="X37" i="1"/>
  <c r="X36" i="1"/>
  <c r="X35" i="1"/>
  <c r="X34" i="1"/>
  <c r="X33" i="1"/>
  <c r="X32" i="1"/>
  <c r="X31" i="1"/>
  <c r="X30" i="1"/>
  <c r="X29" i="1"/>
  <c r="X28" i="1"/>
  <c r="X27" i="1"/>
  <c r="X26" i="1"/>
  <c r="X25" i="1"/>
  <c r="X24" i="1"/>
  <c r="X23" i="1"/>
  <c r="X22" i="1"/>
  <c r="X21" i="1"/>
  <c r="X20" i="1"/>
  <c r="X19" i="1"/>
  <c r="X18" i="1"/>
  <c r="X17" i="1"/>
  <c r="X16" i="1"/>
  <c r="X15" i="1"/>
  <c r="X14" i="1"/>
  <c r="X13" i="1"/>
  <c r="X12" i="1"/>
  <c r="X11" i="1"/>
  <c r="X10" i="1"/>
  <c r="X9" i="1"/>
  <c r="X8" i="1"/>
  <c r="X7" i="1"/>
  <c r="X6" i="1"/>
  <c r="X5" i="1"/>
  <c r="X4" i="1"/>
  <c r="X3" i="1"/>
  <c r="X2" i="1"/>
  <c r="W249" i="1"/>
  <c r="W248" i="1"/>
  <c r="W247" i="1"/>
  <c r="W246" i="1"/>
  <c r="W245" i="1"/>
  <c r="W244" i="1"/>
  <c r="W243" i="1"/>
  <c r="W242" i="1"/>
  <c r="W241" i="1"/>
  <c r="W240" i="1"/>
  <c r="W239" i="1"/>
  <c r="W238" i="1"/>
  <c r="W237" i="1"/>
  <c r="W236" i="1"/>
  <c r="W235" i="1"/>
  <c r="W234" i="1"/>
  <c r="W233" i="1"/>
  <c r="W232" i="1"/>
  <c r="W231" i="1"/>
  <c r="W230" i="1"/>
  <c r="W229" i="1"/>
  <c r="W228" i="1"/>
  <c r="W227" i="1"/>
  <c r="W226" i="1"/>
  <c r="W225" i="1"/>
  <c r="W224" i="1"/>
  <c r="W223" i="1"/>
  <c r="W222" i="1"/>
  <c r="W221" i="1"/>
  <c r="W220" i="1"/>
  <c r="W219" i="1"/>
  <c r="W218" i="1"/>
  <c r="W217" i="1"/>
  <c r="W216" i="1"/>
  <c r="W215" i="1"/>
  <c r="W214" i="1"/>
  <c r="W213" i="1"/>
  <c r="W212" i="1"/>
  <c r="W211" i="1"/>
  <c r="W209" i="1"/>
  <c r="W208" i="1"/>
  <c r="W207" i="1"/>
  <c r="W206" i="1"/>
  <c r="W205" i="1"/>
  <c r="W204" i="1"/>
  <c r="W203" i="1"/>
  <c r="W202" i="1"/>
  <c r="W201" i="1"/>
  <c r="W200" i="1"/>
  <c r="W199" i="1"/>
  <c r="W197" i="1"/>
  <c r="W195" i="1"/>
  <c r="W194" i="1"/>
  <c r="W193" i="1"/>
  <c r="W192" i="1"/>
  <c r="W191" i="1"/>
  <c r="W190" i="1"/>
  <c r="W189" i="1"/>
  <c r="W188" i="1"/>
  <c r="W187" i="1"/>
  <c r="W186" i="1"/>
  <c r="W185" i="1"/>
  <c r="W184" i="1"/>
  <c r="W183" i="1"/>
  <c r="W182" i="1"/>
  <c r="W181" i="1"/>
  <c r="W180" i="1"/>
  <c r="W179" i="1"/>
  <c r="W178" i="1"/>
  <c r="W177" i="1"/>
  <c r="W176" i="1"/>
  <c r="W175" i="1"/>
  <c r="W174" i="1"/>
  <c r="W173" i="1"/>
  <c r="W172" i="1"/>
  <c r="W171" i="1"/>
  <c r="W170" i="1"/>
  <c r="W169" i="1"/>
  <c r="W168" i="1"/>
  <c r="W167" i="1"/>
  <c r="W166" i="1"/>
  <c r="W165" i="1"/>
  <c r="W164" i="1"/>
  <c r="W163" i="1"/>
  <c r="W162" i="1"/>
  <c r="W161" i="1"/>
  <c r="W160" i="1"/>
  <c r="W159" i="1"/>
  <c r="W158" i="1"/>
  <c r="W157" i="1"/>
  <c r="W156" i="1"/>
  <c r="W154" i="1"/>
  <c r="W153" i="1"/>
  <c r="W152" i="1"/>
  <c r="W151" i="1"/>
  <c r="W150" i="1"/>
  <c r="W149" i="1"/>
  <c r="W148" i="1"/>
  <c r="W147" i="1"/>
  <c r="W146" i="1"/>
  <c r="W145" i="1"/>
  <c r="W144" i="1"/>
  <c r="W143" i="1"/>
  <c r="W142" i="1"/>
  <c r="W141" i="1"/>
  <c r="W140" i="1"/>
  <c r="W139" i="1"/>
  <c r="W138" i="1"/>
  <c r="W137" i="1"/>
  <c r="W136" i="1"/>
  <c r="W135" i="1"/>
  <c r="W134" i="1"/>
  <c r="W133" i="1"/>
  <c r="W132" i="1"/>
  <c r="W131" i="1"/>
  <c r="W130" i="1"/>
  <c r="W129" i="1"/>
  <c r="W128" i="1"/>
  <c r="W127" i="1"/>
  <c r="W126" i="1"/>
  <c r="W125" i="1"/>
  <c r="W124" i="1"/>
  <c r="W123" i="1"/>
  <c r="W122" i="1"/>
  <c r="W121" i="1"/>
  <c r="W119" i="1"/>
  <c r="W118" i="1"/>
  <c r="W117" i="1"/>
  <c r="W116" i="1"/>
  <c r="W115" i="1"/>
  <c r="W114" i="1"/>
  <c r="W113" i="1"/>
  <c r="W112" i="1"/>
  <c r="W111" i="1"/>
  <c r="W110" i="1"/>
  <c r="W109" i="1"/>
  <c r="W108" i="1"/>
  <c r="W107" i="1"/>
  <c r="W106" i="1"/>
  <c r="W105" i="1"/>
  <c r="W104" i="1"/>
  <c r="W103" i="1"/>
  <c r="W102" i="1"/>
  <c r="W101" i="1"/>
  <c r="W100" i="1"/>
  <c r="W99" i="1"/>
  <c r="W98" i="1"/>
  <c r="W97" i="1"/>
  <c r="W96" i="1"/>
  <c r="W95" i="1"/>
  <c r="W94" i="1"/>
  <c r="W93" i="1"/>
  <c r="W92" i="1"/>
  <c r="W91" i="1"/>
  <c r="W90" i="1"/>
  <c r="W89" i="1"/>
  <c r="W88" i="1"/>
  <c r="W87" i="1"/>
  <c r="W86" i="1"/>
  <c r="W85" i="1"/>
  <c r="W84" i="1"/>
  <c r="W83" i="1"/>
  <c r="W82" i="1"/>
  <c r="W81" i="1"/>
  <c r="W80" i="1"/>
  <c r="W79" i="1"/>
  <c r="W78" i="1"/>
  <c r="W77" i="1"/>
  <c r="W76" i="1"/>
  <c r="W75" i="1"/>
  <c r="W74" i="1"/>
  <c r="W73" i="1"/>
  <c r="W72" i="1"/>
  <c r="W71" i="1"/>
  <c r="W70" i="1"/>
  <c r="W69" i="1"/>
  <c r="W68" i="1"/>
  <c r="W67" i="1"/>
  <c r="W66" i="1"/>
  <c r="W65" i="1"/>
  <c r="W64" i="1"/>
  <c r="W63" i="1"/>
  <c r="W62" i="1"/>
  <c r="W61" i="1"/>
  <c r="W60" i="1"/>
  <c r="W59" i="1"/>
  <c r="W58" i="1"/>
  <c r="W57" i="1"/>
  <c r="W56" i="1"/>
  <c r="W55" i="1"/>
  <c r="W54" i="1"/>
  <c r="W53" i="1"/>
  <c r="W52" i="1"/>
  <c r="W51" i="1"/>
  <c r="W50" i="1"/>
  <c r="W49" i="1"/>
  <c r="W48" i="1"/>
  <c r="W47" i="1"/>
  <c r="W46" i="1"/>
  <c r="W45" i="1"/>
  <c r="W44" i="1"/>
  <c r="W43" i="1"/>
  <c r="W42" i="1"/>
  <c r="W41" i="1"/>
  <c r="W40" i="1"/>
  <c r="W39" i="1"/>
  <c r="W38" i="1"/>
  <c r="W37" i="1"/>
  <c r="W36" i="1"/>
  <c r="W35" i="1"/>
  <c r="W34" i="1"/>
  <c r="W33" i="1"/>
  <c r="W32" i="1"/>
  <c r="W31" i="1"/>
  <c r="W30" i="1"/>
  <c r="W29" i="1"/>
  <c r="W28" i="1"/>
  <c r="W27" i="1"/>
  <c r="W26" i="1"/>
  <c r="W25" i="1"/>
  <c r="W24" i="1"/>
  <c r="W23" i="1"/>
  <c r="W22" i="1"/>
  <c r="W21" i="1"/>
  <c r="W20" i="1"/>
  <c r="W19" i="1"/>
  <c r="W18" i="1"/>
  <c r="W17" i="1"/>
  <c r="W16" i="1"/>
  <c r="W15" i="1"/>
  <c r="W14" i="1"/>
  <c r="W13" i="1"/>
  <c r="W12" i="1"/>
  <c r="W11" i="1"/>
  <c r="W10" i="1"/>
  <c r="W9" i="1"/>
  <c r="W8" i="1"/>
  <c r="W7" i="1"/>
  <c r="W6" i="1"/>
  <c r="W5" i="1"/>
  <c r="W4" i="1"/>
  <c r="W3" i="1"/>
  <c r="W2" i="1"/>
  <c r="V249" i="1"/>
  <c r="V248" i="1"/>
  <c r="V247" i="1"/>
  <c r="V246" i="1"/>
  <c r="V245" i="1"/>
  <c r="V244" i="1"/>
  <c r="V243" i="1"/>
  <c r="V242" i="1"/>
  <c r="V241" i="1"/>
  <c r="V240" i="1"/>
  <c r="V239" i="1"/>
  <c r="V238" i="1"/>
  <c r="V237" i="1"/>
  <c r="V236" i="1"/>
  <c r="V235" i="1"/>
  <c r="V234" i="1"/>
  <c r="V233" i="1"/>
  <c r="V232" i="1"/>
  <c r="V231" i="1"/>
  <c r="V230" i="1"/>
  <c r="V229" i="1"/>
  <c r="V228" i="1"/>
  <c r="V227" i="1"/>
  <c r="V226" i="1"/>
  <c r="V225" i="1"/>
  <c r="V224" i="1"/>
  <c r="V223" i="1"/>
  <c r="V222" i="1"/>
  <c r="V221" i="1"/>
  <c r="V220" i="1"/>
  <c r="V219" i="1"/>
  <c r="V218" i="1"/>
  <c r="V217" i="1"/>
  <c r="V216" i="1"/>
  <c r="V215" i="1"/>
  <c r="V214" i="1"/>
  <c r="V213" i="1"/>
  <c r="V212" i="1"/>
  <c r="V211" i="1"/>
  <c r="V209" i="1"/>
  <c r="V208" i="1"/>
  <c r="V207" i="1"/>
  <c r="V206" i="1"/>
  <c r="V205" i="1"/>
  <c r="V204" i="1"/>
  <c r="V203" i="1"/>
  <c r="V202" i="1"/>
  <c r="V201" i="1"/>
  <c r="V200" i="1"/>
  <c r="V199" i="1"/>
  <c r="V197" i="1"/>
  <c r="V195" i="1"/>
  <c r="V194" i="1"/>
  <c r="V193" i="1"/>
  <c r="V192" i="1"/>
  <c r="V191" i="1"/>
  <c r="V190" i="1"/>
  <c r="V189" i="1"/>
  <c r="V188" i="1"/>
  <c r="V187" i="1"/>
  <c r="V186" i="1"/>
  <c r="V185" i="1"/>
  <c r="V184" i="1"/>
  <c r="V183" i="1"/>
  <c r="V182" i="1"/>
  <c r="V181" i="1"/>
  <c r="V180" i="1"/>
  <c r="V179" i="1"/>
  <c r="V178" i="1"/>
  <c r="V177" i="1"/>
  <c r="V176" i="1"/>
  <c r="V175" i="1"/>
  <c r="V174" i="1"/>
  <c r="V173" i="1"/>
  <c r="V172" i="1"/>
  <c r="V171" i="1"/>
  <c r="V170" i="1"/>
  <c r="V169" i="1"/>
  <c r="V168" i="1"/>
  <c r="V167" i="1"/>
  <c r="V166" i="1"/>
  <c r="V165" i="1"/>
  <c r="V164" i="1"/>
  <c r="V163" i="1"/>
  <c r="V162" i="1"/>
  <c r="V161" i="1"/>
  <c r="V160" i="1"/>
  <c r="V159" i="1"/>
  <c r="V158" i="1"/>
  <c r="V157" i="1"/>
  <c r="V156" i="1"/>
  <c r="V154" i="1"/>
  <c r="V153" i="1"/>
  <c r="V152" i="1"/>
  <c r="V151" i="1"/>
  <c r="V150" i="1"/>
  <c r="V149" i="1"/>
  <c r="V148" i="1"/>
  <c r="V147" i="1"/>
  <c r="V146" i="1"/>
  <c r="V145" i="1"/>
  <c r="V144" i="1"/>
  <c r="V143" i="1"/>
  <c r="V142" i="1"/>
  <c r="V141" i="1"/>
  <c r="V140" i="1"/>
  <c r="V139" i="1"/>
  <c r="V138" i="1"/>
  <c r="V137" i="1"/>
  <c r="V136" i="1"/>
  <c r="V135" i="1"/>
  <c r="V134" i="1"/>
  <c r="V133" i="1"/>
  <c r="V132" i="1"/>
  <c r="V131" i="1"/>
  <c r="V130" i="1"/>
  <c r="V129" i="1"/>
  <c r="V128" i="1"/>
  <c r="V127" i="1"/>
  <c r="V126" i="1"/>
  <c r="V125" i="1"/>
  <c r="V124" i="1"/>
  <c r="V123" i="1"/>
  <c r="V122" i="1"/>
  <c r="V121" i="1"/>
  <c r="V119" i="1"/>
  <c r="V118" i="1"/>
  <c r="V117" i="1"/>
  <c r="V116" i="1"/>
  <c r="V115" i="1"/>
  <c r="V114" i="1"/>
  <c r="V113" i="1"/>
  <c r="V112" i="1"/>
  <c r="V111" i="1"/>
  <c r="V110" i="1"/>
  <c r="V109" i="1"/>
  <c r="V108" i="1"/>
  <c r="V107" i="1"/>
  <c r="V106" i="1"/>
  <c r="V105" i="1"/>
  <c r="V104" i="1"/>
  <c r="V103" i="1"/>
  <c r="V102" i="1"/>
  <c r="V101" i="1"/>
  <c r="V100" i="1"/>
  <c r="V99" i="1"/>
  <c r="V98" i="1"/>
  <c r="V97" i="1"/>
  <c r="V96" i="1"/>
  <c r="V95" i="1"/>
  <c r="V94" i="1"/>
  <c r="V93" i="1"/>
  <c r="V92" i="1"/>
  <c r="V91" i="1"/>
  <c r="V90" i="1"/>
  <c r="V89" i="1"/>
  <c r="V88" i="1"/>
  <c r="V87" i="1"/>
  <c r="V86" i="1"/>
  <c r="V85" i="1"/>
  <c r="V84" i="1"/>
  <c r="V83" i="1"/>
  <c r="V82" i="1"/>
  <c r="V81" i="1"/>
  <c r="V80" i="1"/>
  <c r="V79" i="1"/>
  <c r="V78" i="1"/>
  <c r="V77" i="1"/>
  <c r="V76" i="1"/>
  <c r="V75" i="1"/>
  <c r="V74" i="1"/>
  <c r="V73" i="1"/>
  <c r="V72" i="1"/>
  <c r="V71" i="1"/>
  <c r="V70" i="1"/>
  <c r="V69" i="1"/>
  <c r="V68" i="1"/>
  <c r="V67" i="1"/>
  <c r="V66" i="1"/>
  <c r="V65" i="1"/>
  <c r="V64" i="1"/>
  <c r="V63" i="1"/>
  <c r="V62" i="1"/>
  <c r="V61" i="1"/>
  <c r="V60" i="1"/>
  <c r="V59" i="1"/>
  <c r="V58" i="1"/>
  <c r="V57" i="1"/>
  <c r="V56" i="1"/>
  <c r="V55" i="1"/>
  <c r="V54" i="1"/>
  <c r="V53" i="1"/>
  <c r="V52" i="1"/>
  <c r="V51" i="1"/>
  <c r="V50" i="1"/>
  <c r="V49" i="1"/>
  <c r="V48" i="1"/>
  <c r="V47" i="1"/>
  <c r="V46" i="1"/>
  <c r="V45" i="1"/>
  <c r="V44" i="1"/>
  <c r="V43" i="1"/>
  <c r="V42" i="1"/>
  <c r="V41" i="1"/>
  <c r="V40" i="1"/>
  <c r="V39" i="1"/>
  <c r="V38" i="1"/>
  <c r="V37" i="1"/>
  <c r="V36" i="1"/>
  <c r="V35" i="1"/>
  <c r="V34" i="1"/>
  <c r="V33" i="1"/>
  <c r="V32" i="1"/>
  <c r="V31" i="1"/>
  <c r="V30" i="1"/>
  <c r="V29" i="1"/>
  <c r="V28" i="1"/>
  <c r="V27" i="1"/>
  <c r="V26" i="1"/>
  <c r="V25" i="1"/>
  <c r="V24" i="1"/>
  <c r="V23" i="1"/>
  <c r="V22" i="1"/>
  <c r="V21" i="1"/>
  <c r="V20" i="1"/>
  <c r="V19" i="1"/>
  <c r="V18" i="1"/>
  <c r="V17" i="1"/>
  <c r="V16" i="1"/>
  <c r="V15" i="1"/>
  <c r="V14" i="1"/>
  <c r="V13" i="1"/>
  <c r="V12" i="1"/>
  <c r="V11" i="1"/>
  <c r="V10" i="1"/>
  <c r="V9" i="1"/>
  <c r="V8" i="1"/>
  <c r="V7" i="1"/>
  <c r="V6" i="1"/>
  <c r="V5" i="1"/>
  <c r="V4" i="1"/>
  <c r="V3" i="1"/>
  <c r="V2" i="1"/>
  <c r="U249" i="1"/>
  <c r="U248" i="1"/>
  <c r="U247" i="1"/>
  <c r="U246" i="1"/>
  <c r="U245" i="1"/>
  <c r="U244" i="1"/>
  <c r="U243" i="1"/>
  <c r="U242" i="1"/>
  <c r="U241" i="1"/>
  <c r="U240" i="1"/>
  <c r="U239" i="1"/>
  <c r="U238" i="1"/>
  <c r="U237" i="1"/>
  <c r="U236" i="1"/>
  <c r="U235" i="1"/>
  <c r="U234" i="1"/>
  <c r="U233" i="1"/>
  <c r="U232" i="1"/>
  <c r="U231" i="1"/>
  <c r="U230" i="1"/>
  <c r="U229" i="1"/>
  <c r="U228" i="1"/>
  <c r="U227" i="1"/>
  <c r="U226" i="1"/>
  <c r="U225" i="1"/>
  <c r="U224" i="1"/>
  <c r="U223" i="1"/>
  <c r="U222" i="1"/>
  <c r="U221" i="1"/>
  <c r="U220" i="1"/>
  <c r="U219" i="1"/>
  <c r="U218" i="1"/>
  <c r="U217" i="1"/>
  <c r="U216" i="1"/>
  <c r="U215" i="1"/>
  <c r="U214" i="1"/>
  <c r="U213" i="1"/>
  <c r="U212" i="1"/>
  <c r="U211" i="1"/>
  <c r="U209" i="1"/>
  <c r="U208" i="1"/>
  <c r="U207" i="1"/>
  <c r="U206" i="1"/>
  <c r="U205" i="1"/>
  <c r="U204" i="1"/>
  <c r="U203" i="1"/>
  <c r="U202" i="1"/>
  <c r="U201" i="1"/>
  <c r="U200" i="1"/>
  <c r="U199" i="1"/>
  <c r="U197" i="1"/>
  <c r="U195" i="1"/>
  <c r="U194" i="1"/>
  <c r="U193" i="1"/>
  <c r="U192" i="1"/>
  <c r="U191" i="1"/>
  <c r="U190" i="1"/>
  <c r="U189" i="1"/>
  <c r="U188" i="1"/>
  <c r="U187" i="1"/>
  <c r="U186" i="1"/>
  <c r="U185" i="1"/>
  <c r="U184" i="1"/>
  <c r="U183" i="1"/>
  <c r="U182" i="1"/>
  <c r="U181" i="1"/>
  <c r="U180" i="1"/>
  <c r="U179" i="1"/>
  <c r="U178" i="1"/>
  <c r="U177" i="1"/>
  <c r="U176" i="1"/>
  <c r="U175" i="1"/>
  <c r="U174" i="1"/>
  <c r="U173" i="1"/>
  <c r="U172" i="1"/>
  <c r="U171" i="1"/>
  <c r="U170" i="1"/>
  <c r="U169" i="1"/>
  <c r="U168" i="1"/>
  <c r="U167" i="1"/>
  <c r="U166" i="1"/>
  <c r="U165" i="1"/>
  <c r="U164" i="1"/>
  <c r="U163" i="1"/>
  <c r="U162" i="1"/>
  <c r="U161" i="1"/>
  <c r="U160" i="1"/>
  <c r="U159" i="1"/>
  <c r="U158" i="1"/>
  <c r="U157" i="1"/>
  <c r="U156" i="1"/>
  <c r="U154" i="1"/>
  <c r="U153" i="1"/>
  <c r="U152" i="1"/>
  <c r="U151" i="1"/>
  <c r="U150" i="1"/>
  <c r="U149" i="1"/>
  <c r="U148" i="1"/>
  <c r="U147" i="1"/>
  <c r="U146" i="1"/>
  <c r="U145" i="1"/>
  <c r="U144" i="1"/>
  <c r="U143" i="1"/>
  <c r="U142" i="1"/>
  <c r="U141" i="1"/>
  <c r="U140" i="1"/>
  <c r="U139" i="1"/>
  <c r="U138" i="1"/>
  <c r="U137" i="1"/>
  <c r="U136" i="1"/>
  <c r="U135" i="1"/>
  <c r="U134" i="1"/>
  <c r="U133" i="1"/>
  <c r="U132" i="1"/>
  <c r="U131" i="1"/>
  <c r="U130" i="1"/>
  <c r="U129" i="1"/>
  <c r="U128" i="1"/>
  <c r="U127" i="1"/>
  <c r="U126" i="1"/>
  <c r="U125" i="1"/>
  <c r="U124" i="1"/>
  <c r="U123" i="1"/>
  <c r="U122" i="1"/>
  <c r="U121" i="1"/>
  <c r="U119" i="1"/>
  <c r="U118" i="1"/>
  <c r="U117" i="1"/>
  <c r="U116" i="1"/>
  <c r="U115" i="1"/>
  <c r="U114" i="1"/>
  <c r="U113" i="1"/>
  <c r="U112" i="1"/>
  <c r="U111" i="1"/>
  <c r="U110" i="1"/>
  <c r="U109" i="1"/>
  <c r="U108" i="1"/>
  <c r="U107" i="1"/>
  <c r="U106" i="1"/>
  <c r="U105" i="1"/>
  <c r="U104" i="1"/>
  <c r="U103" i="1"/>
  <c r="U102" i="1"/>
  <c r="U101" i="1"/>
  <c r="U100" i="1"/>
  <c r="U99" i="1"/>
  <c r="U98" i="1"/>
  <c r="U97" i="1"/>
  <c r="U96" i="1"/>
  <c r="U95" i="1"/>
  <c r="U94" i="1"/>
  <c r="U93" i="1"/>
  <c r="U92" i="1"/>
  <c r="U91" i="1"/>
  <c r="U90" i="1"/>
  <c r="U89" i="1"/>
  <c r="U88" i="1"/>
  <c r="U87" i="1"/>
  <c r="U86" i="1"/>
  <c r="U85" i="1"/>
  <c r="U84" i="1"/>
  <c r="U83" i="1"/>
  <c r="U82" i="1"/>
  <c r="U81" i="1"/>
  <c r="U80" i="1"/>
  <c r="U79" i="1"/>
  <c r="U78" i="1"/>
  <c r="U77" i="1"/>
  <c r="U76" i="1"/>
  <c r="U75" i="1"/>
  <c r="U74" i="1"/>
  <c r="U73" i="1"/>
  <c r="U72" i="1"/>
  <c r="U71" i="1"/>
  <c r="U70" i="1"/>
  <c r="U69" i="1"/>
  <c r="U68" i="1"/>
  <c r="U67" i="1"/>
  <c r="U66" i="1"/>
  <c r="U65" i="1"/>
  <c r="U64" i="1"/>
  <c r="U63" i="1"/>
  <c r="U62" i="1"/>
  <c r="U61" i="1"/>
  <c r="U60" i="1"/>
  <c r="U59" i="1"/>
  <c r="U58" i="1"/>
  <c r="U57" i="1"/>
  <c r="U56" i="1"/>
  <c r="U55" i="1"/>
  <c r="U54" i="1"/>
  <c r="U53" i="1"/>
  <c r="U52" i="1"/>
  <c r="U51" i="1"/>
  <c r="U50" i="1"/>
  <c r="U49" i="1"/>
  <c r="U48" i="1"/>
  <c r="U47" i="1"/>
  <c r="U46" i="1"/>
  <c r="U45" i="1"/>
  <c r="U44" i="1"/>
  <c r="U43" i="1"/>
  <c r="U42" i="1"/>
  <c r="U41" i="1"/>
  <c r="U40" i="1"/>
  <c r="U39" i="1"/>
  <c r="U38" i="1"/>
  <c r="U37" i="1"/>
  <c r="U36" i="1"/>
  <c r="U35" i="1"/>
  <c r="U34" i="1"/>
  <c r="U33" i="1"/>
  <c r="U32" i="1"/>
  <c r="U31" i="1"/>
  <c r="U30" i="1"/>
  <c r="U29" i="1"/>
  <c r="U28" i="1"/>
  <c r="U27" i="1"/>
  <c r="U26" i="1"/>
  <c r="U25" i="1"/>
  <c r="U24" i="1"/>
  <c r="U23" i="1"/>
  <c r="U22" i="1"/>
  <c r="U21" i="1"/>
  <c r="U20" i="1"/>
  <c r="U19" i="1"/>
  <c r="U18" i="1"/>
  <c r="U17" i="1"/>
  <c r="U16" i="1"/>
  <c r="U15" i="1"/>
  <c r="U14" i="1"/>
  <c r="U13" i="1"/>
  <c r="U12" i="1"/>
  <c r="U11" i="1"/>
  <c r="U10" i="1"/>
  <c r="U9" i="1"/>
  <c r="U8" i="1"/>
  <c r="U7" i="1"/>
  <c r="U6" i="1"/>
  <c r="U5" i="1"/>
  <c r="U4" i="1"/>
  <c r="U3" i="1"/>
  <c r="U2" i="1"/>
  <c r="T249" i="1"/>
  <c r="T248" i="1"/>
  <c r="T247" i="1"/>
  <c r="T246" i="1"/>
  <c r="T245" i="1"/>
  <c r="T244" i="1"/>
  <c r="T243" i="1"/>
  <c r="T242" i="1"/>
  <c r="T241" i="1"/>
  <c r="T240" i="1"/>
  <c r="T239" i="1"/>
  <c r="T238" i="1"/>
  <c r="T237" i="1"/>
  <c r="T236" i="1"/>
  <c r="T235" i="1"/>
  <c r="T234" i="1"/>
  <c r="T233" i="1"/>
  <c r="T232" i="1"/>
  <c r="T231" i="1"/>
  <c r="T230" i="1"/>
  <c r="T229" i="1"/>
  <c r="T228" i="1"/>
  <c r="T227" i="1"/>
  <c r="T226" i="1"/>
  <c r="T225" i="1"/>
  <c r="T224" i="1"/>
  <c r="T223" i="1"/>
  <c r="T222" i="1"/>
  <c r="T221" i="1"/>
  <c r="T220" i="1"/>
  <c r="T219" i="1"/>
  <c r="T218" i="1"/>
  <c r="T217" i="1"/>
  <c r="T216" i="1"/>
  <c r="T215" i="1"/>
  <c r="T214" i="1"/>
  <c r="T213" i="1"/>
  <c r="T212" i="1"/>
  <c r="T211" i="1"/>
  <c r="T209" i="1"/>
  <c r="T208" i="1"/>
  <c r="T207" i="1"/>
  <c r="T206" i="1"/>
  <c r="T205" i="1"/>
  <c r="T204" i="1"/>
  <c r="T203" i="1"/>
  <c r="T202" i="1"/>
  <c r="T201" i="1"/>
  <c r="T200" i="1"/>
  <c r="T199" i="1"/>
  <c r="T197" i="1"/>
  <c r="T195" i="1"/>
  <c r="T194" i="1"/>
  <c r="T193" i="1"/>
  <c r="T192" i="1"/>
  <c r="T191" i="1"/>
  <c r="T190" i="1"/>
  <c r="T189" i="1"/>
  <c r="T188" i="1"/>
  <c r="T187" i="1"/>
  <c r="T186" i="1"/>
  <c r="T185" i="1"/>
  <c r="T184" i="1"/>
  <c r="T183" i="1"/>
  <c r="T182" i="1"/>
  <c r="T181" i="1"/>
  <c r="T180" i="1"/>
  <c r="T179" i="1"/>
  <c r="T178" i="1"/>
  <c r="T177" i="1"/>
  <c r="T176" i="1"/>
  <c r="T175" i="1"/>
  <c r="T174" i="1"/>
  <c r="T173" i="1"/>
  <c r="T172" i="1"/>
  <c r="T171" i="1"/>
  <c r="T170" i="1"/>
  <c r="T169" i="1"/>
  <c r="T168" i="1"/>
  <c r="T167" i="1"/>
  <c r="T166" i="1"/>
  <c r="T165" i="1"/>
  <c r="T164" i="1"/>
  <c r="T163" i="1"/>
  <c r="T162" i="1"/>
  <c r="T161" i="1"/>
  <c r="T160" i="1"/>
  <c r="T159" i="1"/>
  <c r="T158" i="1"/>
  <c r="T157" i="1"/>
  <c r="T156" i="1"/>
  <c r="T154" i="1"/>
  <c r="T153" i="1"/>
  <c r="T152" i="1"/>
  <c r="T151" i="1"/>
  <c r="T150" i="1"/>
  <c r="T149" i="1"/>
  <c r="T148" i="1"/>
  <c r="T147" i="1"/>
  <c r="T146" i="1"/>
  <c r="T145" i="1"/>
  <c r="T144" i="1"/>
  <c r="T143" i="1"/>
  <c r="T142" i="1"/>
  <c r="T141" i="1"/>
  <c r="T140" i="1"/>
  <c r="T139" i="1"/>
  <c r="T138" i="1"/>
  <c r="T137" i="1"/>
  <c r="T136" i="1"/>
  <c r="T135" i="1"/>
  <c r="T134" i="1"/>
  <c r="T133" i="1"/>
  <c r="T132" i="1"/>
  <c r="T131" i="1"/>
  <c r="T130" i="1"/>
  <c r="T129" i="1"/>
  <c r="T128" i="1"/>
  <c r="T127" i="1"/>
  <c r="T126" i="1"/>
  <c r="T125" i="1"/>
  <c r="T124" i="1"/>
  <c r="T123" i="1"/>
  <c r="T122" i="1"/>
  <c r="T121" i="1"/>
  <c r="T119" i="1"/>
  <c r="T118" i="1"/>
  <c r="T117" i="1"/>
  <c r="T116" i="1"/>
  <c r="T115" i="1"/>
  <c r="T114" i="1"/>
  <c r="T113" i="1"/>
  <c r="T112" i="1"/>
  <c r="T111" i="1"/>
  <c r="T110" i="1"/>
  <c r="T109" i="1"/>
  <c r="T108" i="1"/>
  <c r="T107" i="1"/>
  <c r="T106" i="1"/>
  <c r="T105" i="1"/>
  <c r="T104" i="1"/>
  <c r="T103" i="1"/>
  <c r="T102" i="1"/>
  <c r="T101" i="1"/>
  <c r="T100" i="1"/>
  <c r="T99" i="1"/>
  <c r="T98" i="1"/>
  <c r="T97" i="1"/>
  <c r="T96" i="1"/>
  <c r="T95" i="1"/>
  <c r="T94" i="1"/>
  <c r="T93" i="1"/>
  <c r="T92" i="1"/>
  <c r="T91" i="1"/>
  <c r="T90" i="1"/>
  <c r="T89" i="1"/>
  <c r="T88" i="1"/>
  <c r="T87" i="1"/>
  <c r="T86" i="1"/>
  <c r="T85" i="1"/>
  <c r="T84" i="1"/>
  <c r="T83" i="1"/>
  <c r="T82" i="1"/>
  <c r="T81" i="1"/>
  <c r="T80" i="1"/>
  <c r="T79" i="1"/>
  <c r="T78" i="1"/>
  <c r="T77" i="1"/>
  <c r="T76" i="1"/>
  <c r="T75" i="1"/>
  <c r="T74" i="1"/>
  <c r="T73" i="1"/>
  <c r="T72" i="1"/>
  <c r="T71" i="1"/>
  <c r="T70" i="1"/>
  <c r="T69" i="1"/>
  <c r="T68" i="1"/>
  <c r="T67" i="1"/>
  <c r="T66" i="1"/>
  <c r="T65" i="1"/>
  <c r="T64" i="1"/>
  <c r="T63" i="1"/>
  <c r="T62" i="1"/>
  <c r="T61" i="1"/>
  <c r="T60" i="1"/>
  <c r="T59" i="1"/>
  <c r="T58" i="1"/>
  <c r="T57" i="1"/>
  <c r="T56" i="1"/>
  <c r="T55" i="1"/>
  <c r="T54" i="1"/>
  <c r="T53" i="1"/>
  <c r="T52" i="1"/>
  <c r="T51" i="1"/>
  <c r="T50" i="1"/>
  <c r="T49" i="1"/>
  <c r="T48" i="1"/>
  <c r="T47" i="1"/>
  <c r="T46" i="1"/>
  <c r="T45" i="1"/>
  <c r="T44" i="1"/>
  <c r="T43" i="1"/>
  <c r="T42" i="1"/>
  <c r="T41" i="1"/>
  <c r="T40" i="1"/>
  <c r="T39" i="1"/>
  <c r="T38" i="1"/>
  <c r="T37" i="1"/>
  <c r="T36" i="1"/>
  <c r="T35" i="1"/>
  <c r="T34" i="1"/>
  <c r="T33" i="1"/>
  <c r="T32" i="1"/>
  <c r="T31" i="1"/>
  <c r="T30" i="1"/>
  <c r="T29" i="1"/>
  <c r="T28" i="1"/>
  <c r="T27" i="1"/>
  <c r="T26" i="1"/>
  <c r="T25" i="1"/>
  <c r="T24" i="1"/>
  <c r="T23" i="1"/>
  <c r="T22" i="1"/>
  <c r="T21" i="1"/>
  <c r="T20" i="1"/>
  <c r="T19" i="1"/>
  <c r="T18" i="1"/>
  <c r="T17" i="1"/>
  <c r="T16" i="1"/>
  <c r="T15" i="1"/>
  <c r="T14" i="1"/>
  <c r="T13" i="1"/>
  <c r="T12" i="1"/>
  <c r="T11" i="1"/>
  <c r="T10" i="1"/>
  <c r="T9" i="1"/>
  <c r="T8" i="1"/>
  <c r="T7" i="1"/>
  <c r="T6" i="1"/>
  <c r="T5" i="1"/>
  <c r="T4" i="1"/>
  <c r="T3" i="1"/>
  <c r="T2" i="1"/>
  <c r="S249" i="1"/>
  <c r="S248" i="1"/>
  <c r="S247" i="1"/>
  <c r="S246" i="1"/>
  <c r="S245" i="1"/>
  <c r="S244" i="1"/>
  <c r="S243" i="1"/>
  <c r="S242" i="1"/>
  <c r="S241" i="1"/>
  <c r="S240" i="1"/>
  <c r="S239" i="1"/>
  <c r="S238" i="1"/>
  <c r="S237" i="1"/>
  <c r="S236" i="1"/>
  <c r="S235" i="1"/>
  <c r="S234" i="1"/>
  <c r="S233" i="1"/>
  <c r="S232" i="1"/>
  <c r="S231" i="1"/>
  <c r="S230" i="1"/>
  <c r="S229" i="1"/>
  <c r="S228" i="1"/>
  <c r="S227" i="1"/>
  <c r="S226" i="1"/>
  <c r="S225" i="1"/>
  <c r="S224" i="1"/>
  <c r="S223" i="1"/>
  <c r="S222" i="1"/>
  <c r="S221" i="1"/>
  <c r="S220" i="1"/>
  <c r="S219" i="1"/>
  <c r="S218" i="1"/>
  <c r="S217" i="1"/>
  <c r="S216" i="1"/>
  <c r="S215" i="1"/>
  <c r="S214" i="1"/>
  <c r="S213" i="1"/>
  <c r="S212" i="1"/>
  <c r="S211" i="1"/>
  <c r="S209" i="1"/>
  <c r="S208" i="1"/>
  <c r="S207" i="1"/>
  <c r="S206" i="1"/>
  <c r="S205" i="1"/>
  <c r="S204" i="1"/>
  <c r="S203" i="1"/>
  <c r="S202" i="1"/>
  <c r="S201" i="1"/>
  <c r="S200" i="1"/>
  <c r="S199" i="1"/>
  <c r="S197" i="1"/>
  <c r="S195" i="1"/>
  <c r="S194" i="1"/>
  <c r="S193" i="1"/>
  <c r="S192" i="1"/>
  <c r="S191" i="1"/>
  <c r="S190" i="1"/>
  <c r="S189" i="1"/>
  <c r="S188" i="1"/>
  <c r="S187" i="1"/>
  <c r="S186" i="1"/>
  <c r="S185" i="1"/>
  <c r="S184" i="1"/>
  <c r="S183" i="1"/>
  <c r="S182" i="1"/>
  <c r="S181" i="1"/>
  <c r="S180" i="1"/>
  <c r="S179" i="1"/>
  <c r="S178" i="1"/>
  <c r="S177" i="1"/>
  <c r="S176" i="1"/>
  <c r="S175" i="1"/>
  <c r="S174" i="1"/>
  <c r="S173" i="1"/>
  <c r="S172" i="1"/>
  <c r="S171" i="1"/>
  <c r="S170" i="1"/>
  <c r="S169" i="1"/>
  <c r="S168" i="1"/>
  <c r="S167" i="1"/>
  <c r="S166" i="1"/>
  <c r="S165" i="1"/>
  <c r="S164" i="1"/>
  <c r="S163" i="1"/>
  <c r="S162" i="1"/>
  <c r="S161" i="1"/>
  <c r="S160" i="1"/>
  <c r="S159" i="1"/>
  <c r="S158" i="1"/>
  <c r="S157" i="1"/>
  <c r="S156" i="1"/>
  <c r="S154" i="1"/>
  <c r="S153" i="1"/>
  <c r="S152" i="1"/>
  <c r="S151" i="1"/>
  <c r="S150" i="1"/>
  <c r="S149" i="1"/>
  <c r="S148" i="1"/>
  <c r="S147" i="1"/>
  <c r="S146" i="1"/>
  <c r="S145" i="1"/>
  <c r="S144" i="1"/>
  <c r="S143" i="1"/>
  <c r="S142" i="1"/>
  <c r="S141" i="1"/>
  <c r="S140" i="1"/>
  <c r="S139" i="1"/>
  <c r="S138" i="1"/>
  <c r="S137" i="1"/>
  <c r="S136" i="1"/>
  <c r="S135" i="1"/>
  <c r="S134" i="1"/>
  <c r="S133" i="1"/>
  <c r="S132" i="1"/>
  <c r="S131" i="1"/>
  <c r="S130" i="1"/>
  <c r="S129" i="1"/>
  <c r="S128" i="1"/>
  <c r="S127" i="1"/>
  <c r="S126" i="1"/>
  <c r="S125" i="1"/>
  <c r="S124" i="1"/>
  <c r="S123" i="1"/>
  <c r="S122" i="1"/>
  <c r="S121" i="1"/>
  <c r="S119" i="1"/>
  <c r="S118" i="1"/>
  <c r="S117" i="1"/>
  <c r="S116" i="1"/>
  <c r="S115" i="1"/>
  <c r="S114" i="1"/>
  <c r="S113" i="1"/>
  <c r="S112" i="1"/>
  <c r="S111" i="1"/>
  <c r="S110" i="1"/>
  <c r="S109" i="1"/>
  <c r="S108" i="1"/>
  <c r="S107" i="1"/>
  <c r="S106" i="1"/>
  <c r="S105" i="1"/>
  <c r="S104" i="1"/>
  <c r="S103" i="1"/>
  <c r="S102" i="1"/>
  <c r="S101" i="1"/>
  <c r="S100" i="1"/>
  <c r="S99" i="1"/>
  <c r="S98" i="1"/>
  <c r="S97" i="1"/>
  <c r="S96" i="1"/>
  <c r="S95" i="1"/>
  <c r="S94" i="1"/>
  <c r="S93" i="1"/>
  <c r="S92" i="1"/>
  <c r="S91" i="1"/>
  <c r="S90" i="1"/>
  <c r="S89" i="1"/>
  <c r="S88" i="1"/>
  <c r="S87" i="1"/>
  <c r="S86" i="1"/>
  <c r="S85" i="1"/>
  <c r="S84" i="1"/>
  <c r="S83" i="1"/>
  <c r="S82" i="1"/>
  <c r="S81" i="1"/>
  <c r="S80" i="1"/>
  <c r="S79" i="1"/>
  <c r="S78" i="1"/>
  <c r="S77" i="1"/>
  <c r="S76" i="1"/>
  <c r="S75" i="1"/>
  <c r="S74" i="1"/>
  <c r="S73" i="1"/>
  <c r="S72" i="1"/>
  <c r="S71" i="1"/>
  <c r="S70" i="1"/>
  <c r="S69" i="1"/>
  <c r="S68" i="1"/>
  <c r="S67" i="1"/>
  <c r="S66" i="1"/>
  <c r="S65" i="1"/>
  <c r="S64" i="1"/>
  <c r="S63" i="1"/>
  <c r="S62" i="1"/>
  <c r="S61" i="1"/>
  <c r="S60" i="1"/>
  <c r="S59" i="1"/>
  <c r="S58" i="1"/>
  <c r="S57" i="1"/>
  <c r="S56" i="1"/>
  <c r="S55" i="1"/>
  <c r="S54" i="1"/>
  <c r="S53" i="1"/>
  <c r="S52" i="1"/>
  <c r="S51" i="1"/>
  <c r="S50" i="1"/>
  <c r="S49" i="1"/>
  <c r="S48" i="1"/>
  <c r="S47" i="1"/>
  <c r="S46" i="1"/>
  <c r="S45" i="1"/>
  <c r="S44" i="1"/>
  <c r="S43" i="1"/>
  <c r="S42" i="1"/>
  <c r="S41" i="1"/>
  <c r="S40" i="1"/>
  <c r="S39" i="1"/>
  <c r="S38" i="1"/>
  <c r="S37" i="1"/>
  <c r="S36" i="1"/>
  <c r="S35" i="1"/>
  <c r="S34" i="1"/>
  <c r="S33" i="1"/>
  <c r="S32" i="1"/>
  <c r="S31" i="1"/>
  <c r="S30" i="1"/>
  <c r="S29" i="1"/>
  <c r="S28" i="1"/>
  <c r="S27" i="1"/>
  <c r="S26" i="1"/>
  <c r="S25" i="1"/>
  <c r="S24" i="1"/>
  <c r="S23" i="1"/>
  <c r="S22" i="1"/>
  <c r="S21" i="1"/>
  <c r="S20" i="1"/>
  <c r="S19" i="1"/>
  <c r="S18" i="1"/>
  <c r="S17" i="1"/>
  <c r="S16" i="1"/>
  <c r="S15" i="1"/>
  <c r="S14" i="1"/>
  <c r="S13" i="1"/>
  <c r="S12" i="1"/>
  <c r="S11" i="1"/>
  <c r="S10" i="1"/>
  <c r="S9" i="1"/>
  <c r="S8" i="1"/>
  <c r="S7" i="1"/>
  <c r="S6" i="1"/>
  <c r="S5" i="1"/>
  <c r="S4" i="1"/>
  <c r="S3" i="1"/>
  <c r="S2" i="1"/>
  <c r="R249" i="1"/>
  <c r="R248" i="1"/>
  <c r="R247" i="1"/>
  <c r="R246" i="1"/>
  <c r="R245" i="1"/>
  <c r="R244" i="1"/>
  <c r="R243" i="1"/>
  <c r="R242" i="1"/>
  <c r="R241" i="1"/>
  <c r="R240" i="1"/>
  <c r="R239" i="1"/>
  <c r="R238" i="1"/>
  <c r="R237" i="1"/>
  <c r="R236" i="1"/>
  <c r="R235" i="1"/>
  <c r="R234" i="1"/>
  <c r="R233" i="1"/>
  <c r="R232" i="1"/>
  <c r="R231" i="1"/>
  <c r="R230" i="1"/>
  <c r="R229" i="1"/>
  <c r="R228" i="1"/>
  <c r="R227" i="1"/>
  <c r="R226" i="1"/>
  <c r="R225" i="1"/>
  <c r="R224" i="1"/>
  <c r="R223" i="1"/>
  <c r="R222" i="1"/>
  <c r="R221" i="1"/>
  <c r="R220" i="1"/>
  <c r="R219" i="1"/>
  <c r="R218" i="1"/>
  <c r="R217" i="1"/>
  <c r="R216" i="1"/>
  <c r="R215" i="1"/>
  <c r="R214" i="1"/>
  <c r="R213" i="1"/>
  <c r="R212" i="1"/>
  <c r="R211" i="1"/>
  <c r="R209" i="1"/>
  <c r="R208" i="1"/>
  <c r="R207" i="1"/>
  <c r="R206" i="1"/>
  <c r="R205" i="1"/>
  <c r="R204" i="1"/>
  <c r="R203" i="1"/>
  <c r="R202" i="1"/>
  <c r="R201" i="1"/>
  <c r="R200" i="1"/>
  <c r="R199" i="1"/>
  <c r="R197" i="1"/>
  <c r="R195" i="1"/>
  <c r="R194" i="1"/>
  <c r="R193" i="1"/>
  <c r="R192" i="1"/>
  <c r="R191" i="1"/>
  <c r="R190" i="1"/>
  <c r="R189" i="1"/>
  <c r="R188" i="1"/>
  <c r="R187" i="1"/>
  <c r="R186" i="1"/>
  <c r="R185" i="1"/>
  <c r="R184" i="1"/>
  <c r="R183" i="1"/>
  <c r="R182" i="1"/>
  <c r="R181" i="1"/>
  <c r="R180" i="1"/>
  <c r="R179" i="1"/>
  <c r="R178" i="1"/>
  <c r="R177" i="1"/>
  <c r="R176" i="1"/>
  <c r="R175" i="1"/>
  <c r="R174" i="1"/>
  <c r="R173" i="1"/>
  <c r="R172" i="1"/>
  <c r="R171" i="1"/>
  <c r="R170" i="1"/>
  <c r="R169" i="1"/>
  <c r="R168" i="1"/>
  <c r="R167" i="1"/>
  <c r="R166" i="1"/>
  <c r="R165" i="1"/>
  <c r="R164" i="1"/>
  <c r="R163" i="1"/>
  <c r="R162" i="1"/>
  <c r="R161" i="1"/>
  <c r="R160" i="1"/>
  <c r="R159" i="1"/>
  <c r="R158" i="1"/>
  <c r="R157" i="1"/>
  <c r="R156" i="1"/>
  <c r="R154" i="1"/>
  <c r="R153" i="1"/>
  <c r="R152" i="1"/>
  <c r="R151" i="1"/>
  <c r="R150" i="1"/>
  <c r="R149" i="1"/>
  <c r="R148" i="1"/>
  <c r="R147" i="1"/>
  <c r="R146" i="1"/>
  <c r="R145" i="1"/>
  <c r="R144" i="1"/>
  <c r="R143" i="1"/>
  <c r="R142" i="1"/>
  <c r="R141" i="1"/>
  <c r="R140" i="1"/>
  <c r="R139" i="1"/>
  <c r="R138" i="1"/>
  <c r="R137" i="1"/>
  <c r="R136" i="1"/>
  <c r="R135" i="1"/>
  <c r="R134" i="1"/>
  <c r="R133" i="1"/>
  <c r="R132" i="1"/>
  <c r="R131" i="1"/>
  <c r="R130" i="1"/>
  <c r="R129" i="1"/>
  <c r="R128" i="1"/>
  <c r="R127" i="1"/>
  <c r="R126" i="1"/>
  <c r="R125" i="1"/>
  <c r="R124" i="1"/>
  <c r="R123" i="1"/>
  <c r="R122" i="1"/>
  <c r="R121" i="1"/>
  <c r="R119" i="1"/>
  <c r="R118" i="1"/>
  <c r="R117" i="1"/>
  <c r="R116" i="1"/>
  <c r="R115" i="1"/>
  <c r="R114" i="1"/>
  <c r="R113" i="1"/>
  <c r="R112" i="1"/>
  <c r="R111" i="1"/>
  <c r="R110" i="1"/>
  <c r="R109" i="1"/>
  <c r="R108" i="1"/>
  <c r="R107" i="1"/>
  <c r="R106" i="1"/>
  <c r="R105" i="1"/>
  <c r="R104" i="1"/>
  <c r="R103" i="1"/>
  <c r="R102" i="1"/>
  <c r="R101" i="1"/>
  <c r="R100" i="1"/>
  <c r="R99" i="1"/>
  <c r="R98" i="1"/>
  <c r="R97" i="1"/>
  <c r="R96" i="1"/>
  <c r="R95" i="1"/>
  <c r="R94" i="1"/>
  <c r="R93" i="1"/>
  <c r="R92" i="1"/>
  <c r="R91" i="1"/>
  <c r="R90" i="1"/>
  <c r="R89" i="1"/>
  <c r="R88" i="1"/>
  <c r="R87" i="1"/>
  <c r="R86" i="1"/>
  <c r="R85" i="1"/>
  <c r="R84" i="1"/>
  <c r="R83" i="1"/>
  <c r="R82" i="1"/>
  <c r="R81" i="1"/>
  <c r="R80" i="1"/>
  <c r="R79" i="1"/>
  <c r="R78" i="1"/>
  <c r="R77" i="1"/>
  <c r="R76" i="1"/>
  <c r="R75" i="1"/>
  <c r="R74" i="1"/>
  <c r="R73" i="1"/>
  <c r="R72" i="1"/>
  <c r="R71" i="1"/>
  <c r="R70" i="1"/>
  <c r="R69" i="1"/>
  <c r="R68" i="1"/>
  <c r="R67" i="1"/>
  <c r="R66" i="1"/>
  <c r="R65" i="1"/>
  <c r="R64" i="1"/>
  <c r="R63" i="1"/>
  <c r="R62" i="1"/>
  <c r="R61" i="1"/>
  <c r="R60" i="1"/>
  <c r="R59" i="1"/>
  <c r="R58" i="1"/>
  <c r="R57" i="1"/>
  <c r="R56" i="1"/>
  <c r="R55" i="1"/>
  <c r="R54" i="1"/>
  <c r="R53" i="1"/>
  <c r="R52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R22" i="1"/>
  <c r="R21" i="1"/>
  <c r="R20" i="1"/>
  <c r="R19" i="1"/>
  <c r="R18" i="1"/>
  <c r="R17" i="1"/>
  <c r="R16" i="1"/>
  <c r="R15" i="1"/>
  <c r="R14" i="1"/>
  <c r="R13" i="1"/>
  <c r="R12" i="1"/>
  <c r="R11" i="1"/>
  <c r="R10" i="1"/>
  <c r="R9" i="1"/>
  <c r="R8" i="1"/>
  <c r="R7" i="1"/>
  <c r="R6" i="1"/>
  <c r="R5" i="1"/>
  <c r="R4" i="1"/>
  <c r="R3" i="1"/>
  <c r="R2" i="1"/>
  <c r="Q249" i="1"/>
  <c r="Q248" i="1"/>
  <c r="Q247" i="1"/>
  <c r="Q246" i="1"/>
  <c r="Q245" i="1"/>
  <c r="Q244" i="1"/>
  <c r="Q243" i="1"/>
  <c r="Q242" i="1"/>
  <c r="Q241" i="1"/>
  <c r="Q240" i="1"/>
  <c r="Q239" i="1"/>
  <c r="Q238" i="1"/>
  <c r="Q237" i="1"/>
  <c r="Q236" i="1"/>
  <c r="Q235" i="1"/>
  <c r="Q234" i="1"/>
  <c r="Q233" i="1"/>
  <c r="Q232" i="1"/>
  <c r="Q231" i="1"/>
  <c r="Q230" i="1"/>
  <c r="Q229" i="1"/>
  <c r="Q228" i="1"/>
  <c r="Q227" i="1"/>
  <c r="Q226" i="1"/>
  <c r="Q225" i="1"/>
  <c r="Q224" i="1"/>
  <c r="Q223" i="1"/>
  <c r="Q222" i="1"/>
  <c r="Q221" i="1"/>
  <c r="Q220" i="1"/>
  <c r="Q219" i="1"/>
  <c r="Q218" i="1"/>
  <c r="Q217" i="1"/>
  <c r="Q216" i="1"/>
  <c r="Q215" i="1"/>
  <c r="Q214" i="1"/>
  <c r="Q213" i="1"/>
  <c r="Q212" i="1"/>
  <c r="Q211" i="1"/>
  <c r="Q209" i="1"/>
  <c r="Q208" i="1"/>
  <c r="Q207" i="1"/>
  <c r="Q206" i="1"/>
  <c r="Q205" i="1"/>
  <c r="Q204" i="1"/>
  <c r="Q203" i="1"/>
  <c r="Q202" i="1"/>
  <c r="Q201" i="1"/>
  <c r="Q200" i="1"/>
  <c r="Q199" i="1"/>
  <c r="Q197" i="1"/>
  <c r="Q195" i="1"/>
  <c r="Q194" i="1"/>
  <c r="Q193" i="1"/>
  <c r="Q192" i="1"/>
  <c r="Q191" i="1"/>
  <c r="Q190" i="1"/>
  <c r="Q189" i="1"/>
  <c r="Q188" i="1"/>
  <c r="Q187" i="1"/>
  <c r="Q186" i="1"/>
  <c r="Q185" i="1"/>
  <c r="Q184" i="1"/>
  <c r="Q183" i="1"/>
  <c r="Q182" i="1"/>
  <c r="Q181" i="1"/>
  <c r="Q180" i="1"/>
  <c r="Q179" i="1"/>
  <c r="Q178" i="1"/>
  <c r="Q177" i="1"/>
  <c r="Q176" i="1"/>
  <c r="Q175" i="1"/>
  <c r="Q174" i="1"/>
  <c r="Q173" i="1"/>
  <c r="Q172" i="1"/>
  <c r="Q171" i="1"/>
  <c r="Q170" i="1"/>
  <c r="Q169" i="1"/>
  <c r="Q168" i="1"/>
  <c r="Q167" i="1"/>
  <c r="Q166" i="1"/>
  <c r="Q165" i="1"/>
  <c r="Q164" i="1"/>
  <c r="Q163" i="1"/>
  <c r="Q162" i="1"/>
  <c r="Q161" i="1"/>
  <c r="Q160" i="1"/>
  <c r="Q159" i="1"/>
  <c r="Q158" i="1"/>
  <c r="Q157" i="1"/>
  <c r="Q156" i="1"/>
  <c r="Q154" i="1"/>
  <c r="Q153" i="1"/>
  <c r="Q152" i="1"/>
  <c r="Q151" i="1"/>
  <c r="Q150" i="1"/>
  <c r="Q149" i="1"/>
  <c r="Q148" i="1"/>
  <c r="Q147" i="1"/>
  <c r="Q146" i="1"/>
  <c r="Q145" i="1"/>
  <c r="Q144" i="1"/>
  <c r="Q143" i="1"/>
  <c r="Q142" i="1"/>
  <c r="Q141" i="1"/>
  <c r="Q140" i="1"/>
  <c r="Q139" i="1"/>
  <c r="Q138" i="1"/>
  <c r="Q137" i="1"/>
  <c r="Q136" i="1"/>
  <c r="Q135" i="1"/>
  <c r="Q134" i="1"/>
  <c r="Q133" i="1"/>
  <c r="Q132" i="1"/>
  <c r="Q131" i="1"/>
  <c r="Q130" i="1"/>
  <c r="Q129" i="1"/>
  <c r="Q128" i="1"/>
  <c r="Q127" i="1"/>
  <c r="Q126" i="1"/>
  <c r="Q125" i="1"/>
  <c r="Q124" i="1"/>
  <c r="Q123" i="1"/>
  <c r="Q122" i="1"/>
  <c r="Q121" i="1"/>
  <c r="Q119" i="1"/>
  <c r="Q118" i="1"/>
  <c r="Q117" i="1"/>
  <c r="Q116" i="1"/>
  <c r="Q115" i="1"/>
  <c r="Q114" i="1"/>
  <c r="Q113" i="1"/>
  <c r="Q112" i="1"/>
  <c r="Q111" i="1"/>
  <c r="Q110" i="1"/>
  <c r="Q109" i="1"/>
  <c r="Q108" i="1"/>
  <c r="Q107" i="1"/>
  <c r="Q106" i="1"/>
  <c r="Q105" i="1"/>
  <c r="Q104" i="1"/>
  <c r="Q103" i="1"/>
  <c r="Q102" i="1"/>
  <c r="Q101" i="1"/>
  <c r="Q100" i="1"/>
  <c r="Q99" i="1"/>
  <c r="Q98" i="1"/>
  <c r="Q97" i="1"/>
  <c r="Q96" i="1"/>
  <c r="Q95" i="1"/>
  <c r="Q94" i="1"/>
  <c r="Q93" i="1"/>
  <c r="Q92" i="1"/>
  <c r="Q91" i="1"/>
  <c r="Q90" i="1"/>
  <c r="Q89" i="1"/>
  <c r="Q88" i="1"/>
  <c r="Q87" i="1"/>
  <c r="Q86" i="1"/>
  <c r="Q85" i="1"/>
  <c r="Q84" i="1"/>
  <c r="Q83" i="1"/>
  <c r="Q82" i="1"/>
  <c r="Q81" i="1"/>
  <c r="Q80" i="1"/>
  <c r="Q79" i="1"/>
  <c r="Q78" i="1"/>
  <c r="Q77" i="1"/>
  <c r="Q76" i="1"/>
  <c r="Q75" i="1"/>
  <c r="Q74" i="1"/>
  <c r="Q73" i="1"/>
  <c r="Q72" i="1"/>
  <c r="Q71" i="1"/>
  <c r="Q70" i="1"/>
  <c r="Q69" i="1"/>
  <c r="Q68" i="1"/>
  <c r="Q67" i="1"/>
  <c r="Q66" i="1"/>
  <c r="Q65" i="1"/>
  <c r="Q64" i="1"/>
  <c r="Q63" i="1"/>
  <c r="Q62" i="1"/>
  <c r="Q61" i="1"/>
  <c r="Q60" i="1"/>
  <c r="Q59" i="1"/>
  <c r="Q58" i="1"/>
  <c r="Q57" i="1"/>
  <c r="Q56" i="1"/>
  <c r="Q55" i="1"/>
  <c r="Q54" i="1"/>
  <c r="Q53" i="1"/>
  <c r="Q52" i="1"/>
  <c r="Q51" i="1"/>
  <c r="Q50" i="1"/>
  <c r="Q49" i="1"/>
  <c r="Q48" i="1"/>
  <c r="Q47" i="1"/>
  <c r="Q46" i="1"/>
  <c r="Q45" i="1"/>
  <c r="Q44" i="1"/>
  <c r="Q43" i="1"/>
  <c r="Q42" i="1"/>
  <c r="Q41" i="1"/>
  <c r="Q40" i="1"/>
  <c r="Q39" i="1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Q8" i="1"/>
  <c r="Q7" i="1"/>
  <c r="Q6" i="1"/>
  <c r="Q5" i="1"/>
  <c r="Q4" i="1"/>
  <c r="Q3" i="1"/>
  <c r="Q2" i="1"/>
  <c r="P249" i="1"/>
  <c r="P248" i="1"/>
  <c r="P247" i="1"/>
  <c r="P246" i="1"/>
  <c r="P245" i="1"/>
  <c r="P244" i="1"/>
  <c r="P243" i="1"/>
  <c r="P242" i="1"/>
  <c r="P241" i="1"/>
  <c r="P240" i="1"/>
  <c r="P239" i="1"/>
  <c r="P238" i="1"/>
  <c r="P237" i="1"/>
  <c r="P236" i="1"/>
  <c r="P235" i="1"/>
  <c r="P234" i="1"/>
  <c r="P233" i="1"/>
  <c r="P232" i="1"/>
  <c r="P231" i="1"/>
  <c r="P230" i="1"/>
  <c r="P229" i="1"/>
  <c r="P228" i="1"/>
  <c r="P227" i="1"/>
  <c r="P226" i="1"/>
  <c r="P225" i="1"/>
  <c r="P224" i="1"/>
  <c r="P223" i="1"/>
  <c r="P222" i="1"/>
  <c r="P221" i="1"/>
  <c r="P220" i="1"/>
  <c r="P219" i="1"/>
  <c r="P218" i="1"/>
  <c r="P217" i="1"/>
  <c r="P216" i="1"/>
  <c r="P215" i="1"/>
  <c r="P214" i="1"/>
  <c r="P213" i="1"/>
  <c r="P212" i="1"/>
  <c r="P211" i="1"/>
  <c r="P209" i="1"/>
  <c r="P208" i="1"/>
  <c r="P207" i="1"/>
  <c r="P206" i="1"/>
  <c r="P205" i="1"/>
  <c r="P204" i="1"/>
  <c r="P203" i="1"/>
  <c r="P202" i="1"/>
  <c r="P201" i="1"/>
  <c r="P200" i="1"/>
  <c r="P199" i="1"/>
  <c r="P197" i="1"/>
  <c r="P195" i="1"/>
  <c r="P194" i="1"/>
  <c r="P193" i="1"/>
  <c r="P192" i="1"/>
  <c r="P191" i="1"/>
  <c r="P190" i="1"/>
  <c r="P189" i="1"/>
  <c r="P188" i="1"/>
  <c r="P187" i="1"/>
  <c r="P186" i="1"/>
  <c r="P185" i="1"/>
  <c r="P184" i="1"/>
  <c r="P183" i="1"/>
  <c r="P182" i="1"/>
  <c r="P181" i="1"/>
  <c r="P180" i="1"/>
  <c r="P179" i="1"/>
  <c r="P178" i="1"/>
  <c r="P177" i="1"/>
  <c r="P176" i="1"/>
  <c r="P175" i="1"/>
  <c r="P174" i="1"/>
  <c r="P173" i="1"/>
  <c r="P172" i="1"/>
  <c r="P171" i="1"/>
  <c r="P170" i="1"/>
  <c r="P169" i="1"/>
  <c r="P168" i="1"/>
  <c r="P167" i="1"/>
  <c r="P166" i="1"/>
  <c r="P165" i="1"/>
  <c r="P164" i="1"/>
  <c r="P163" i="1"/>
  <c r="P162" i="1"/>
  <c r="P161" i="1"/>
  <c r="P160" i="1"/>
  <c r="P159" i="1"/>
  <c r="P158" i="1"/>
  <c r="P157" i="1"/>
  <c r="P156" i="1"/>
  <c r="P154" i="1"/>
  <c r="P153" i="1"/>
  <c r="P152" i="1"/>
  <c r="P151" i="1"/>
  <c r="P150" i="1"/>
  <c r="P149" i="1"/>
  <c r="P148" i="1"/>
  <c r="P147" i="1"/>
  <c r="P146" i="1"/>
  <c r="P145" i="1"/>
  <c r="P144" i="1"/>
  <c r="P143" i="1"/>
  <c r="P142" i="1"/>
  <c r="P141" i="1"/>
  <c r="P140" i="1"/>
  <c r="P139" i="1"/>
  <c r="P138" i="1"/>
  <c r="P137" i="1"/>
  <c r="P136" i="1"/>
  <c r="P135" i="1"/>
  <c r="P134" i="1"/>
  <c r="P133" i="1"/>
  <c r="P132" i="1"/>
  <c r="P131" i="1"/>
  <c r="P130" i="1"/>
  <c r="P129" i="1"/>
  <c r="P128" i="1"/>
  <c r="P127" i="1"/>
  <c r="P126" i="1"/>
  <c r="P125" i="1"/>
  <c r="P124" i="1"/>
  <c r="P123" i="1"/>
  <c r="P122" i="1"/>
  <c r="P121" i="1"/>
  <c r="P119" i="1"/>
  <c r="P118" i="1"/>
  <c r="P117" i="1"/>
  <c r="P116" i="1"/>
  <c r="P115" i="1"/>
  <c r="P114" i="1"/>
  <c r="P113" i="1"/>
  <c r="P112" i="1"/>
  <c r="P111" i="1"/>
  <c r="P110" i="1"/>
  <c r="P109" i="1"/>
  <c r="P108" i="1"/>
  <c r="P107" i="1"/>
  <c r="P106" i="1"/>
  <c r="P105" i="1"/>
  <c r="P104" i="1"/>
  <c r="P103" i="1"/>
  <c r="P102" i="1"/>
  <c r="P101" i="1"/>
  <c r="P100" i="1"/>
  <c r="P99" i="1"/>
  <c r="P98" i="1"/>
  <c r="P97" i="1"/>
  <c r="P96" i="1"/>
  <c r="P95" i="1"/>
  <c r="P94" i="1"/>
  <c r="P93" i="1"/>
  <c r="P92" i="1"/>
  <c r="P91" i="1"/>
  <c r="P90" i="1"/>
  <c r="P89" i="1"/>
  <c r="P88" i="1"/>
  <c r="P87" i="1"/>
  <c r="P86" i="1"/>
  <c r="P85" i="1"/>
  <c r="P84" i="1"/>
  <c r="P83" i="1"/>
  <c r="P82" i="1"/>
  <c r="P81" i="1"/>
  <c r="P80" i="1"/>
  <c r="P79" i="1"/>
  <c r="P78" i="1"/>
  <c r="P77" i="1"/>
  <c r="P76" i="1"/>
  <c r="P75" i="1"/>
  <c r="P74" i="1"/>
  <c r="P73" i="1"/>
  <c r="P72" i="1"/>
  <c r="P71" i="1"/>
  <c r="P70" i="1"/>
  <c r="P69" i="1"/>
  <c r="P68" i="1"/>
  <c r="P67" i="1"/>
  <c r="P66" i="1"/>
  <c r="P65" i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P8" i="1"/>
  <c r="P7" i="1"/>
  <c r="P6" i="1"/>
  <c r="P5" i="1"/>
  <c r="P4" i="1"/>
  <c r="P3" i="1"/>
  <c r="P2" i="1"/>
  <c r="O249" i="1"/>
  <c r="O248" i="1"/>
  <c r="O247" i="1"/>
  <c r="O246" i="1"/>
  <c r="O245" i="1"/>
  <c r="O244" i="1"/>
  <c r="O243" i="1"/>
  <c r="O242" i="1"/>
  <c r="O241" i="1"/>
  <c r="O240" i="1"/>
  <c r="O239" i="1"/>
  <c r="O238" i="1"/>
  <c r="O237" i="1"/>
  <c r="O236" i="1"/>
  <c r="O235" i="1"/>
  <c r="O234" i="1"/>
  <c r="O233" i="1"/>
  <c r="O232" i="1"/>
  <c r="O231" i="1"/>
  <c r="O230" i="1"/>
  <c r="O229" i="1"/>
  <c r="O228" i="1"/>
  <c r="O226" i="1"/>
  <c r="O227" i="1"/>
  <c r="O225" i="1"/>
  <c r="O224" i="1"/>
  <c r="O223" i="1"/>
  <c r="O222" i="1"/>
  <c r="O221" i="1"/>
  <c r="O220" i="1"/>
  <c r="O219" i="1"/>
  <c r="O218" i="1"/>
  <c r="O217" i="1"/>
  <c r="O216" i="1"/>
  <c r="O215" i="1"/>
  <c r="O214" i="1"/>
  <c r="O213" i="1"/>
  <c r="O212" i="1"/>
  <c r="O211" i="1"/>
  <c r="O209" i="1"/>
  <c r="O208" i="1"/>
  <c r="O207" i="1"/>
  <c r="O206" i="1"/>
  <c r="O205" i="1"/>
  <c r="O204" i="1"/>
  <c r="O203" i="1"/>
  <c r="O202" i="1"/>
  <c r="O201" i="1"/>
  <c r="O200" i="1"/>
  <c r="O199" i="1"/>
  <c r="O197" i="1"/>
  <c r="O195" i="1"/>
  <c r="O194" i="1"/>
  <c r="O193" i="1"/>
  <c r="O192" i="1"/>
  <c r="O191" i="1"/>
  <c r="O190" i="1"/>
  <c r="O189" i="1"/>
  <c r="O188" i="1"/>
  <c r="O187" i="1"/>
  <c r="O186" i="1"/>
  <c r="O185" i="1"/>
  <c r="O184" i="1"/>
  <c r="O183" i="1"/>
  <c r="O182" i="1"/>
  <c r="O181" i="1"/>
  <c r="O180" i="1"/>
  <c r="O179" i="1"/>
  <c r="O178" i="1"/>
  <c r="O177" i="1"/>
  <c r="O176" i="1"/>
  <c r="O175" i="1"/>
  <c r="O174" i="1"/>
  <c r="O173" i="1"/>
  <c r="O172" i="1"/>
  <c r="O171" i="1"/>
  <c r="O170" i="1"/>
  <c r="O169" i="1"/>
  <c r="O168" i="1"/>
  <c r="O167" i="1"/>
  <c r="O166" i="1"/>
  <c r="O165" i="1"/>
  <c r="O164" i="1"/>
  <c r="O163" i="1"/>
  <c r="O162" i="1"/>
  <c r="O161" i="1"/>
  <c r="O160" i="1"/>
  <c r="O159" i="1"/>
  <c r="O158" i="1"/>
  <c r="O157" i="1"/>
  <c r="O156" i="1"/>
  <c r="O154" i="1"/>
  <c r="O153" i="1"/>
  <c r="O152" i="1"/>
  <c r="O151" i="1"/>
  <c r="O150" i="1"/>
  <c r="O149" i="1"/>
  <c r="O148" i="1"/>
  <c r="O147" i="1"/>
  <c r="O146" i="1"/>
  <c r="O145" i="1"/>
  <c r="O144" i="1"/>
  <c r="O143" i="1"/>
  <c r="O142" i="1"/>
  <c r="O141" i="1"/>
  <c r="O140" i="1"/>
  <c r="O139" i="1"/>
  <c r="O138" i="1"/>
  <c r="O137" i="1"/>
  <c r="O136" i="1"/>
  <c r="O135" i="1"/>
  <c r="O134" i="1"/>
  <c r="O133" i="1"/>
  <c r="O132" i="1"/>
  <c r="O131" i="1"/>
  <c r="O130" i="1"/>
  <c r="O129" i="1"/>
  <c r="O128" i="1"/>
  <c r="O127" i="1"/>
  <c r="O126" i="1"/>
  <c r="O125" i="1"/>
  <c r="O124" i="1"/>
  <c r="O123" i="1"/>
  <c r="O122" i="1"/>
  <c r="O121" i="1"/>
  <c r="O119" i="1"/>
  <c r="O118" i="1"/>
  <c r="O117" i="1"/>
  <c r="O116" i="1"/>
  <c r="O115" i="1"/>
  <c r="O114" i="1"/>
  <c r="O113" i="1"/>
  <c r="O112" i="1"/>
  <c r="O111" i="1"/>
  <c r="O110" i="1"/>
  <c r="O109" i="1"/>
  <c r="O108" i="1"/>
  <c r="O107" i="1"/>
  <c r="O106" i="1"/>
  <c r="O105" i="1"/>
  <c r="O104" i="1"/>
  <c r="O103" i="1"/>
  <c r="O102" i="1"/>
  <c r="O101" i="1"/>
  <c r="O100" i="1"/>
  <c r="O99" i="1"/>
  <c r="O98" i="1"/>
  <c r="O97" i="1"/>
  <c r="O96" i="1"/>
  <c r="O95" i="1"/>
  <c r="O94" i="1"/>
  <c r="O93" i="1"/>
  <c r="O92" i="1"/>
  <c r="O91" i="1"/>
  <c r="O90" i="1"/>
  <c r="O89" i="1"/>
  <c r="O88" i="1"/>
  <c r="O87" i="1"/>
  <c r="O86" i="1"/>
  <c r="O85" i="1"/>
  <c r="O84" i="1"/>
  <c r="O83" i="1"/>
  <c r="O82" i="1"/>
  <c r="O81" i="1"/>
  <c r="O80" i="1"/>
  <c r="O79" i="1"/>
  <c r="O78" i="1"/>
  <c r="O77" i="1"/>
  <c r="O76" i="1"/>
  <c r="O75" i="1"/>
  <c r="O74" i="1"/>
  <c r="O73" i="1"/>
  <c r="O72" i="1"/>
  <c r="O71" i="1"/>
  <c r="O70" i="1"/>
  <c r="O69" i="1"/>
  <c r="O68" i="1"/>
  <c r="O67" i="1"/>
  <c r="O66" i="1"/>
  <c r="O65" i="1"/>
  <c r="O64" i="1"/>
  <c r="O63" i="1"/>
  <c r="O62" i="1"/>
  <c r="O61" i="1"/>
  <c r="O60" i="1"/>
  <c r="O59" i="1"/>
  <c r="O58" i="1"/>
  <c r="O57" i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  <c r="O7" i="1"/>
  <c r="O6" i="1"/>
  <c r="O5" i="1"/>
  <c r="O4" i="1"/>
  <c r="O3" i="1"/>
  <c r="O2" i="1"/>
  <c r="N249" i="1"/>
  <c r="N248" i="1"/>
  <c r="N247" i="1"/>
  <c r="N246" i="1"/>
  <c r="N245" i="1"/>
  <c r="N244" i="1"/>
  <c r="N243" i="1"/>
  <c r="N242" i="1"/>
  <c r="N241" i="1"/>
  <c r="N240" i="1"/>
  <c r="N239" i="1"/>
  <c r="N238" i="1"/>
  <c r="N237" i="1"/>
  <c r="N236" i="1"/>
  <c r="N235" i="1"/>
  <c r="N234" i="1"/>
  <c r="N233" i="1"/>
  <c r="N232" i="1"/>
  <c r="N231" i="1"/>
  <c r="N230" i="1"/>
  <c r="N229" i="1"/>
  <c r="N228" i="1"/>
  <c r="N227" i="1"/>
  <c r="N226" i="1"/>
  <c r="N225" i="1"/>
  <c r="N224" i="1"/>
  <c r="N223" i="1"/>
  <c r="N222" i="1"/>
  <c r="N221" i="1"/>
  <c r="N220" i="1"/>
  <c r="N219" i="1"/>
  <c r="N218" i="1"/>
  <c r="N217" i="1"/>
  <c r="N216" i="1"/>
  <c r="N215" i="1"/>
  <c r="N214" i="1"/>
  <c r="N213" i="1"/>
  <c r="N212" i="1"/>
  <c r="N211" i="1"/>
  <c r="N209" i="1"/>
  <c r="N208" i="1"/>
  <c r="N207" i="1"/>
  <c r="N206" i="1"/>
  <c r="N205" i="1"/>
  <c r="N204" i="1"/>
  <c r="N203" i="1"/>
  <c r="N202" i="1"/>
  <c r="N201" i="1"/>
  <c r="N200" i="1"/>
  <c r="N199" i="1"/>
  <c r="N197" i="1"/>
  <c r="N195" i="1"/>
  <c r="N194" i="1"/>
  <c r="N193" i="1"/>
  <c r="N192" i="1"/>
  <c r="N191" i="1"/>
  <c r="N190" i="1"/>
  <c r="N189" i="1"/>
  <c r="N188" i="1"/>
  <c r="N187" i="1"/>
  <c r="N186" i="1"/>
  <c r="N185" i="1"/>
  <c r="N184" i="1"/>
  <c r="N183" i="1"/>
  <c r="N182" i="1"/>
  <c r="N181" i="1"/>
  <c r="N180" i="1"/>
  <c r="N179" i="1"/>
  <c r="N178" i="1"/>
  <c r="N177" i="1"/>
  <c r="N176" i="1"/>
  <c r="N175" i="1"/>
  <c r="N174" i="1"/>
  <c r="N173" i="1"/>
  <c r="N172" i="1"/>
  <c r="N171" i="1"/>
  <c r="N170" i="1"/>
  <c r="N169" i="1"/>
  <c r="N168" i="1"/>
  <c r="N167" i="1"/>
  <c r="N166" i="1"/>
  <c r="N165" i="1"/>
  <c r="N164" i="1"/>
  <c r="N163" i="1"/>
  <c r="N162" i="1"/>
  <c r="N161" i="1"/>
  <c r="N160" i="1"/>
  <c r="N159" i="1"/>
  <c r="N158" i="1"/>
  <c r="N157" i="1"/>
  <c r="N156" i="1"/>
  <c r="N154" i="1"/>
  <c r="N153" i="1"/>
  <c r="N152" i="1"/>
  <c r="N151" i="1"/>
  <c r="N150" i="1"/>
  <c r="N149" i="1"/>
  <c r="N148" i="1"/>
  <c r="N147" i="1"/>
  <c r="N146" i="1"/>
  <c r="N145" i="1"/>
  <c r="N144" i="1"/>
  <c r="N143" i="1"/>
  <c r="N142" i="1"/>
  <c r="N141" i="1"/>
  <c r="N140" i="1"/>
  <c r="N139" i="1"/>
  <c r="N138" i="1"/>
  <c r="N137" i="1"/>
  <c r="N136" i="1"/>
  <c r="N135" i="1"/>
  <c r="N134" i="1"/>
  <c r="N133" i="1"/>
  <c r="N132" i="1"/>
  <c r="N131" i="1"/>
  <c r="N130" i="1"/>
  <c r="N129" i="1"/>
  <c r="N128" i="1"/>
  <c r="N127" i="1"/>
  <c r="N126" i="1"/>
  <c r="N125" i="1"/>
  <c r="N124" i="1"/>
  <c r="N123" i="1"/>
  <c r="N122" i="1"/>
  <c r="N121" i="1"/>
  <c r="N119" i="1"/>
  <c r="N118" i="1"/>
  <c r="N117" i="1"/>
  <c r="N116" i="1"/>
  <c r="N115" i="1"/>
  <c r="N114" i="1"/>
  <c r="N113" i="1"/>
  <c r="N112" i="1"/>
  <c r="N111" i="1"/>
  <c r="N110" i="1"/>
  <c r="N109" i="1"/>
  <c r="N108" i="1"/>
  <c r="N107" i="1"/>
  <c r="N106" i="1"/>
  <c r="N105" i="1"/>
  <c r="N104" i="1"/>
  <c r="N103" i="1"/>
  <c r="N102" i="1"/>
  <c r="N101" i="1"/>
  <c r="N100" i="1"/>
  <c r="N99" i="1"/>
  <c r="N98" i="1"/>
  <c r="N97" i="1"/>
  <c r="N96" i="1"/>
  <c r="N95" i="1"/>
  <c r="N94" i="1"/>
  <c r="N93" i="1"/>
  <c r="N92" i="1"/>
  <c r="N91" i="1"/>
  <c r="N90" i="1"/>
  <c r="N89" i="1"/>
  <c r="N88" i="1"/>
  <c r="N87" i="1"/>
  <c r="N86" i="1"/>
  <c r="N85" i="1"/>
  <c r="N84" i="1"/>
  <c r="N83" i="1"/>
  <c r="N82" i="1"/>
  <c r="N81" i="1"/>
  <c r="N80" i="1"/>
  <c r="N79" i="1"/>
  <c r="N78" i="1"/>
  <c r="N77" i="1"/>
  <c r="N76" i="1"/>
  <c r="N75" i="1"/>
  <c r="N74" i="1"/>
  <c r="N73" i="1"/>
  <c r="N72" i="1"/>
  <c r="N71" i="1"/>
  <c r="N70" i="1"/>
  <c r="N69" i="1"/>
  <c r="N68" i="1"/>
  <c r="N67" i="1"/>
  <c r="N66" i="1"/>
  <c r="N65" i="1"/>
  <c r="N64" i="1"/>
  <c r="N63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N5" i="1"/>
  <c r="N4" i="1"/>
  <c r="N3" i="1"/>
  <c r="N2" i="1"/>
  <c r="M249" i="1"/>
  <c r="M248" i="1"/>
  <c r="M247" i="1"/>
  <c r="M246" i="1"/>
  <c r="M245" i="1"/>
  <c r="M244" i="1"/>
  <c r="M243" i="1"/>
  <c r="M242" i="1"/>
  <c r="M241" i="1"/>
  <c r="M240" i="1"/>
  <c r="M239" i="1"/>
  <c r="M238" i="1"/>
  <c r="M237" i="1"/>
  <c r="M236" i="1"/>
  <c r="M235" i="1"/>
  <c r="M234" i="1"/>
  <c r="M233" i="1"/>
  <c r="M232" i="1"/>
  <c r="M231" i="1"/>
  <c r="M230" i="1"/>
  <c r="M229" i="1"/>
  <c r="M228" i="1"/>
  <c r="M227" i="1"/>
  <c r="M226" i="1"/>
  <c r="M225" i="1"/>
  <c r="M224" i="1"/>
  <c r="M223" i="1"/>
  <c r="M222" i="1"/>
  <c r="M221" i="1"/>
  <c r="M220" i="1"/>
  <c r="M219" i="1"/>
  <c r="M218" i="1"/>
  <c r="M217" i="1"/>
  <c r="M216" i="1"/>
  <c r="M215" i="1"/>
  <c r="M214" i="1"/>
  <c r="M213" i="1"/>
  <c r="M212" i="1"/>
  <c r="M211" i="1"/>
  <c r="M209" i="1"/>
  <c r="M208" i="1"/>
  <c r="M207" i="1"/>
  <c r="M206" i="1"/>
  <c r="M205" i="1"/>
  <c r="M204" i="1"/>
  <c r="M203" i="1"/>
  <c r="M202" i="1"/>
  <c r="M201" i="1"/>
  <c r="M200" i="1"/>
  <c r="M199" i="1"/>
  <c r="M197" i="1"/>
  <c r="M195" i="1"/>
  <c r="M194" i="1"/>
  <c r="M193" i="1"/>
  <c r="M192" i="1"/>
  <c r="M191" i="1"/>
  <c r="M190" i="1"/>
  <c r="M189" i="1"/>
  <c r="M188" i="1"/>
  <c r="M187" i="1"/>
  <c r="M186" i="1"/>
  <c r="M185" i="1"/>
  <c r="M184" i="1"/>
  <c r="M183" i="1"/>
  <c r="M182" i="1"/>
  <c r="M181" i="1"/>
  <c r="M180" i="1"/>
  <c r="M179" i="1"/>
  <c r="M178" i="1"/>
  <c r="M177" i="1"/>
  <c r="M176" i="1"/>
  <c r="M175" i="1"/>
  <c r="M174" i="1"/>
  <c r="M173" i="1"/>
  <c r="M172" i="1"/>
  <c r="M171" i="1"/>
  <c r="M170" i="1"/>
  <c r="M169" i="1"/>
  <c r="M168" i="1"/>
  <c r="M167" i="1"/>
  <c r="M166" i="1"/>
  <c r="M165" i="1"/>
  <c r="M164" i="1"/>
  <c r="M163" i="1"/>
  <c r="M162" i="1"/>
  <c r="M161" i="1"/>
  <c r="M160" i="1"/>
  <c r="M159" i="1"/>
  <c r="M158" i="1"/>
  <c r="M157" i="1"/>
  <c r="M156" i="1"/>
  <c r="M154" i="1"/>
  <c r="M153" i="1"/>
  <c r="M152" i="1"/>
  <c r="M151" i="1"/>
  <c r="M150" i="1"/>
  <c r="M149" i="1"/>
  <c r="M148" i="1"/>
  <c r="M147" i="1"/>
  <c r="M146" i="1"/>
  <c r="M145" i="1"/>
  <c r="M144" i="1"/>
  <c r="M143" i="1"/>
  <c r="M142" i="1"/>
  <c r="M141" i="1"/>
  <c r="M140" i="1"/>
  <c r="M139" i="1"/>
  <c r="M138" i="1"/>
  <c r="M137" i="1"/>
  <c r="M136" i="1"/>
  <c r="M135" i="1"/>
  <c r="M134" i="1"/>
  <c r="M133" i="1"/>
  <c r="M132" i="1"/>
  <c r="M131" i="1"/>
  <c r="M130" i="1"/>
  <c r="M129" i="1"/>
  <c r="M128" i="1"/>
  <c r="M127" i="1"/>
  <c r="M126" i="1"/>
  <c r="M125" i="1"/>
  <c r="M124" i="1"/>
  <c r="M123" i="1"/>
  <c r="M122" i="1"/>
  <c r="M121" i="1"/>
  <c r="M119" i="1"/>
  <c r="M118" i="1"/>
  <c r="M117" i="1"/>
  <c r="M116" i="1"/>
  <c r="M115" i="1"/>
  <c r="M114" i="1"/>
  <c r="M113" i="1"/>
  <c r="M112" i="1"/>
  <c r="M111" i="1"/>
  <c r="M110" i="1"/>
  <c r="M109" i="1"/>
  <c r="M108" i="1"/>
  <c r="M107" i="1"/>
  <c r="M106" i="1"/>
  <c r="M105" i="1"/>
  <c r="M104" i="1"/>
  <c r="M103" i="1"/>
  <c r="M102" i="1"/>
  <c r="M101" i="1"/>
  <c r="M100" i="1"/>
  <c r="M99" i="1"/>
  <c r="M98" i="1"/>
  <c r="M97" i="1"/>
  <c r="M96" i="1"/>
  <c r="M95" i="1"/>
  <c r="M94" i="1"/>
  <c r="M93" i="1"/>
  <c r="M92" i="1"/>
  <c r="M91" i="1"/>
  <c r="M90" i="1"/>
  <c r="M89" i="1"/>
  <c r="M88" i="1"/>
  <c r="M87" i="1"/>
  <c r="M86" i="1"/>
  <c r="M85" i="1"/>
  <c r="M84" i="1"/>
  <c r="M83" i="1"/>
  <c r="M82" i="1"/>
  <c r="M81" i="1"/>
  <c r="M80" i="1"/>
  <c r="M79" i="1"/>
  <c r="M78" i="1"/>
  <c r="M77" i="1"/>
  <c r="M76" i="1"/>
  <c r="M75" i="1"/>
  <c r="M74" i="1"/>
  <c r="M73" i="1"/>
  <c r="M72" i="1"/>
  <c r="M71" i="1"/>
  <c r="M70" i="1"/>
  <c r="M69" i="1"/>
  <c r="M68" i="1"/>
  <c r="M67" i="1"/>
  <c r="M66" i="1"/>
  <c r="M65" i="1"/>
  <c r="M64" i="1"/>
  <c r="M63" i="1"/>
  <c r="M62" i="1"/>
  <c r="M61" i="1"/>
  <c r="M60" i="1"/>
  <c r="M59" i="1"/>
  <c r="M58" i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M7" i="1"/>
  <c r="M6" i="1"/>
  <c r="M5" i="1"/>
  <c r="M4" i="1"/>
  <c r="M3" i="1"/>
  <c r="M2" i="1"/>
  <c r="L249" i="1"/>
  <c r="L248" i="1"/>
  <c r="L247" i="1"/>
  <c r="L246" i="1"/>
  <c r="L245" i="1"/>
  <c r="L244" i="1"/>
  <c r="L243" i="1"/>
  <c r="L242" i="1"/>
  <c r="L241" i="1"/>
  <c r="L240" i="1"/>
  <c r="L239" i="1"/>
  <c r="L238" i="1"/>
  <c r="L237" i="1"/>
  <c r="L236" i="1"/>
  <c r="L235" i="1"/>
  <c r="L234" i="1"/>
  <c r="L233" i="1"/>
  <c r="L232" i="1"/>
  <c r="L231" i="1"/>
  <c r="L230" i="1"/>
  <c r="L229" i="1"/>
  <c r="L228" i="1"/>
  <c r="L227" i="1"/>
  <c r="L226" i="1"/>
  <c r="L225" i="1"/>
  <c r="L224" i="1"/>
  <c r="L223" i="1"/>
  <c r="L222" i="1"/>
  <c r="L221" i="1"/>
  <c r="L220" i="1"/>
  <c r="L219" i="1"/>
  <c r="L218" i="1"/>
  <c r="L217" i="1"/>
  <c r="L216" i="1"/>
  <c r="L215" i="1"/>
  <c r="L214" i="1"/>
  <c r="L213" i="1"/>
  <c r="L212" i="1"/>
  <c r="L211" i="1"/>
  <c r="L209" i="1"/>
  <c r="L208" i="1"/>
  <c r="L207" i="1"/>
  <c r="L206" i="1"/>
  <c r="L205" i="1"/>
  <c r="L204" i="1"/>
  <c r="L203" i="1"/>
  <c r="L202" i="1"/>
  <c r="L201" i="1"/>
  <c r="L200" i="1"/>
  <c r="L199" i="1"/>
  <c r="L197" i="1"/>
  <c r="L195" i="1"/>
  <c r="L194" i="1"/>
  <c r="L193" i="1"/>
  <c r="L192" i="1"/>
  <c r="L191" i="1"/>
  <c r="L190" i="1"/>
  <c r="L189" i="1"/>
  <c r="L188" i="1"/>
  <c r="L187" i="1"/>
  <c r="L186" i="1"/>
  <c r="L185" i="1"/>
  <c r="L184" i="1"/>
  <c r="L183" i="1"/>
  <c r="L182" i="1"/>
  <c r="L181" i="1"/>
  <c r="L180" i="1"/>
  <c r="L179" i="1"/>
  <c r="L178" i="1"/>
  <c r="L177" i="1"/>
  <c r="L176" i="1"/>
  <c r="L175" i="1"/>
  <c r="L174" i="1"/>
  <c r="L173" i="1"/>
  <c r="L172" i="1"/>
  <c r="L171" i="1"/>
  <c r="L170" i="1"/>
  <c r="L169" i="1"/>
  <c r="L168" i="1"/>
  <c r="L167" i="1"/>
  <c r="L166" i="1"/>
  <c r="L165" i="1"/>
  <c r="L164" i="1"/>
  <c r="L163" i="1"/>
  <c r="L162" i="1"/>
  <c r="L161" i="1"/>
  <c r="L160" i="1"/>
  <c r="L159" i="1"/>
  <c r="L158" i="1"/>
  <c r="L157" i="1"/>
  <c r="L156" i="1"/>
  <c r="L154" i="1"/>
  <c r="L153" i="1"/>
  <c r="L152" i="1"/>
  <c r="L151" i="1"/>
  <c r="L150" i="1"/>
  <c r="L149" i="1"/>
  <c r="L148" i="1"/>
  <c r="L147" i="1"/>
  <c r="L146" i="1"/>
  <c r="L145" i="1"/>
  <c r="L144" i="1"/>
  <c r="L143" i="1"/>
  <c r="L142" i="1"/>
  <c r="L141" i="1"/>
  <c r="L140" i="1"/>
  <c r="L139" i="1"/>
  <c r="L138" i="1"/>
  <c r="L137" i="1"/>
  <c r="L136" i="1"/>
  <c r="L135" i="1"/>
  <c r="L134" i="1"/>
  <c r="L133" i="1"/>
  <c r="L132" i="1"/>
  <c r="L131" i="1"/>
  <c r="L130" i="1"/>
  <c r="L129" i="1"/>
  <c r="L128" i="1"/>
  <c r="L127" i="1"/>
  <c r="L126" i="1"/>
  <c r="L125" i="1"/>
  <c r="L124" i="1"/>
  <c r="L123" i="1"/>
  <c r="L122" i="1"/>
  <c r="L121" i="1"/>
  <c r="L119" i="1"/>
  <c r="L118" i="1"/>
  <c r="L117" i="1"/>
  <c r="L116" i="1"/>
  <c r="L115" i="1"/>
  <c r="L114" i="1"/>
  <c r="L113" i="1"/>
  <c r="L112" i="1"/>
  <c r="L111" i="1"/>
  <c r="L110" i="1"/>
  <c r="L109" i="1"/>
  <c r="L108" i="1"/>
  <c r="L107" i="1"/>
  <c r="L106" i="1"/>
  <c r="L105" i="1"/>
  <c r="L104" i="1"/>
  <c r="L103" i="1"/>
  <c r="L102" i="1"/>
  <c r="L101" i="1"/>
  <c r="L100" i="1"/>
  <c r="L99" i="1"/>
  <c r="L98" i="1"/>
  <c r="L97" i="1"/>
  <c r="L96" i="1"/>
  <c r="L95" i="1"/>
  <c r="L94" i="1"/>
  <c r="L93" i="1"/>
  <c r="L92" i="1"/>
  <c r="L91" i="1"/>
  <c r="L90" i="1"/>
  <c r="L89" i="1"/>
  <c r="L88" i="1"/>
  <c r="L87" i="1"/>
  <c r="L86" i="1"/>
  <c r="L85" i="1"/>
  <c r="L84" i="1"/>
  <c r="L83" i="1"/>
  <c r="L82" i="1"/>
  <c r="L81" i="1"/>
  <c r="L80" i="1"/>
  <c r="L79" i="1"/>
  <c r="L78" i="1"/>
  <c r="L77" i="1"/>
  <c r="L76" i="1"/>
  <c r="L75" i="1"/>
  <c r="L74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6" i="1"/>
  <c r="L5" i="1"/>
  <c r="L4" i="1"/>
  <c r="L3" i="1"/>
  <c r="L2" i="1"/>
  <c r="K249" i="1"/>
  <c r="K248" i="1"/>
  <c r="K247" i="1"/>
  <c r="K246" i="1"/>
  <c r="K245" i="1"/>
  <c r="K244" i="1"/>
  <c r="K243" i="1"/>
  <c r="K242" i="1"/>
  <c r="K241" i="1"/>
  <c r="K240" i="1"/>
  <c r="K239" i="1"/>
  <c r="K238" i="1"/>
  <c r="K237" i="1"/>
  <c r="K236" i="1"/>
  <c r="K235" i="1"/>
  <c r="K234" i="1"/>
  <c r="K233" i="1"/>
  <c r="K232" i="1"/>
  <c r="K231" i="1"/>
  <c r="K230" i="1"/>
  <c r="K229" i="1"/>
  <c r="K228" i="1"/>
  <c r="K227" i="1"/>
  <c r="K226" i="1"/>
  <c r="K225" i="1"/>
  <c r="K224" i="1"/>
  <c r="K223" i="1"/>
  <c r="K222" i="1"/>
  <c r="K221" i="1"/>
  <c r="K220" i="1"/>
  <c r="K219" i="1"/>
  <c r="K218" i="1"/>
  <c r="K217" i="1"/>
  <c r="K216" i="1"/>
  <c r="K215" i="1"/>
  <c r="K214" i="1"/>
  <c r="K213" i="1"/>
  <c r="K212" i="1"/>
  <c r="K211" i="1"/>
  <c r="K209" i="1"/>
  <c r="K208" i="1"/>
  <c r="K207" i="1"/>
  <c r="K206" i="1"/>
  <c r="K205" i="1"/>
  <c r="K204" i="1"/>
  <c r="K203" i="1"/>
  <c r="K202" i="1"/>
  <c r="K201" i="1"/>
  <c r="K200" i="1"/>
  <c r="K199" i="1"/>
  <c r="K197" i="1"/>
  <c r="K195" i="1"/>
  <c r="K194" i="1"/>
  <c r="K193" i="1"/>
  <c r="K192" i="1"/>
  <c r="K191" i="1"/>
  <c r="K190" i="1"/>
  <c r="K189" i="1"/>
  <c r="K188" i="1"/>
  <c r="K187" i="1"/>
  <c r="K186" i="1"/>
  <c r="K185" i="1"/>
  <c r="K184" i="1"/>
  <c r="K183" i="1"/>
  <c r="K182" i="1"/>
  <c r="K181" i="1"/>
  <c r="K180" i="1"/>
  <c r="K179" i="1"/>
  <c r="K178" i="1"/>
  <c r="K177" i="1"/>
  <c r="K176" i="1"/>
  <c r="K175" i="1"/>
  <c r="K174" i="1"/>
  <c r="K173" i="1"/>
  <c r="K172" i="1"/>
  <c r="K171" i="1"/>
  <c r="K170" i="1"/>
  <c r="K169" i="1"/>
  <c r="K168" i="1"/>
  <c r="K167" i="1"/>
  <c r="K166" i="1"/>
  <c r="K165" i="1"/>
  <c r="K164" i="1"/>
  <c r="K163" i="1"/>
  <c r="K162" i="1"/>
  <c r="K161" i="1"/>
  <c r="K160" i="1"/>
  <c r="K159" i="1"/>
  <c r="K158" i="1"/>
  <c r="K157" i="1"/>
  <c r="K156" i="1"/>
  <c r="K154" i="1"/>
  <c r="K153" i="1"/>
  <c r="K152" i="1"/>
  <c r="K151" i="1"/>
  <c r="K150" i="1"/>
  <c r="K149" i="1"/>
  <c r="K148" i="1"/>
  <c r="K147" i="1"/>
  <c r="K146" i="1"/>
  <c r="K145" i="1"/>
  <c r="K144" i="1"/>
  <c r="K143" i="1"/>
  <c r="K142" i="1"/>
  <c r="K141" i="1"/>
  <c r="K140" i="1"/>
  <c r="K139" i="1"/>
  <c r="K138" i="1"/>
  <c r="K137" i="1"/>
  <c r="K136" i="1"/>
  <c r="K135" i="1"/>
  <c r="K134" i="1"/>
  <c r="K133" i="1"/>
  <c r="K132" i="1"/>
  <c r="K131" i="1"/>
  <c r="K130" i="1"/>
  <c r="K129" i="1"/>
  <c r="K128" i="1"/>
  <c r="K127" i="1"/>
  <c r="K126" i="1"/>
  <c r="K125" i="1"/>
  <c r="K124" i="1"/>
  <c r="K123" i="1"/>
  <c r="K122" i="1"/>
  <c r="K121" i="1"/>
  <c r="K119" i="1"/>
  <c r="K118" i="1"/>
  <c r="K117" i="1"/>
  <c r="K116" i="1"/>
  <c r="K115" i="1"/>
  <c r="K114" i="1"/>
  <c r="K113" i="1"/>
  <c r="K112" i="1"/>
  <c r="K111" i="1"/>
  <c r="K110" i="1"/>
  <c r="K109" i="1"/>
  <c r="K108" i="1"/>
  <c r="K107" i="1"/>
  <c r="K106" i="1"/>
  <c r="K105" i="1"/>
  <c r="K104" i="1"/>
  <c r="K103" i="1"/>
  <c r="K102" i="1"/>
  <c r="K101" i="1"/>
  <c r="K100" i="1"/>
  <c r="K99" i="1"/>
  <c r="K98" i="1"/>
  <c r="K97" i="1"/>
  <c r="K96" i="1"/>
  <c r="K95" i="1"/>
  <c r="K94" i="1"/>
  <c r="K93" i="1"/>
  <c r="K92" i="1"/>
  <c r="K91" i="1"/>
  <c r="K90" i="1"/>
  <c r="K89" i="1"/>
  <c r="K88" i="1"/>
  <c r="K87" i="1"/>
  <c r="K86" i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K4" i="1"/>
  <c r="K3" i="1"/>
  <c r="K2" i="1"/>
  <c r="J249" i="1"/>
  <c r="J248" i="1"/>
  <c r="J247" i="1"/>
  <c r="J246" i="1"/>
  <c r="J245" i="1"/>
  <c r="J244" i="1"/>
  <c r="J243" i="1"/>
  <c r="J242" i="1"/>
  <c r="J241" i="1"/>
  <c r="J240" i="1"/>
  <c r="J239" i="1"/>
  <c r="J238" i="1"/>
  <c r="J237" i="1"/>
  <c r="J236" i="1"/>
  <c r="J235" i="1"/>
  <c r="J234" i="1"/>
  <c r="J233" i="1"/>
  <c r="J232" i="1"/>
  <c r="J231" i="1"/>
  <c r="J230" i="1"/>
  <c r="J229" i="1"/>
  <c r="J228" i="1"/>
  <c r="J227" i="1"/>
  <c r="J226" i="1"/>
  <c r="J225" i="1"/>
  <c r="J224" i="1"/>
  <c r="J223" i="1"/>
  <c r="J222" i="1"/>
  <c r="J221" i="1"/>
  <c r="J220" i="1"/>
  <c r="J219" i="1"/>
  <c r="J218" i="1"/>
  <c r="J217" i="1"/>
  <c r="J216" i="1"/>
  <c r="J215" i="1"/>
  <c r="J214" i="1"/>
  <c r="J213" i="1"/>
  <c r="J212" i="1"/>
  <c r="J211" i="1"/>
  <c r="J209" i="1"/>
  <c r="J208" i="1"/>
  <c r="J207" i="1"/>
  <c r="J206" i="1"/>
  <c r="J205" i="1"/>
  <c r="J204" i="1"/>
  <c r="J203" i="1"/>
  <c r="J202" i="1"/>
  <c r="J201" i="1"/>
  <c r="J200" i="1"/>
  <c r="J199" i="1"/>
  <c r="J197" i="1"/>
  <c r="J195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J4" i="1"/>
  <c r="J3" i="1"/>
  <c r="J2" i="1"/>
  <c r="I249" i="1"/>
  <c r="I248" i="1"/>
  <c r="I247" i="1"/>
  <c r="I246" i="1"/>
  <c r="I245" i="1"/>
  <c r="I244" i="1"/>
  <c r="I243" i="1"/>
  <c r="I242" i="1"/>
  <c r="I241" i="1"/>
  <c r="I240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7" i="1"/>
  <c r="I216" i="1"/>
  <c r="I215" i="1"/>
  <c r="I214" i="1"/>
  <c r="I213" i="1"/>
  <c r="I212" i="1"/>
  <c r="I211" i="1"/>
  <c r="I209" i="1"/>
  <c r="I208" i="1"/>
  <c r="I207" i="1"/>
  <c r="I206" i="1"/>
  <c r="I205" i="1"/>
  <c r="I204" i="1"/>
  <c r="I203" i="1"/>
  <c r="I202" i="1"/>
  <c r="I201" i="1"/>
  <c r="I200" i="1"/>
  <c r="I199" i="1"/>
  <c r="I197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4" i="1"/>
  <c r="I3" i="1"/>
  <c r="I2" i="1"/>
  <c r="H249" i="1"/>
  <c r="H248" i="1"/>
  <c r="H247" i="1"/>
  <c r="H246" i="1"/>
  <c r="H245" i="1"/>
  <c r="H244" i="1"/>
  <c r="H243" i="1"/>
  <c r="H242" i="1"/>
  <c r="H241" i="1"/>
  <c r="H240" i="1"/>
  <c r="H239" i="1"/>
  <c r="H238" i="1"/>
  <c r="H237" i="1"/>
  <c r="H236" i="1"/>
  <c r="H235" i="1"/>
  <c r="H234" i="1"/>
  <c r="H233" i="1"/>
  <c r="H232" i="1"/>
  <c r="H231" i="1"/>
  <c r="H230" i="1"/>
  <c r="H229" i="1"/>
  <c r="H228" i="1"/>
  <c r="H227" i="1"/>
  <c r="H226" i="1"/>
  <c r="H225" i="1"/>
  <c r="H224" i="1"/>
  <c r="H223" i="1"/>
  <c r="H222" i="1"/>
  <c r="H221" i="1"/>
  <c r="H220" i="1"/>
  <c r="H219" i="1"/>
  <c r="H218" i="1"/>
  <c r="H217" i="1"/>
  <c r="H216" i="1"/>
  <c r="H215" i="1"/>
  <c r="H214" i="1"/>
  <c r="H213" i="1"/>
  <c r="H212" i="1"/>
  <c r="H211" i="1"/>
  <c r="H209" i="1"/>
  <c r="H208" i="1"/>
  <c r="H207" i="1"/>
  <c r="H206" i="1"/>
  <c r="H205" i="1"/>
  <c r="H204" i="1"/>
  <c r="H203" i="1"/>
  <c r="H202" i="1"/>
  <c r="H201" i="1"/>
  <c r="H200" i="1"/>
  <c r="H199" i="1"/>
  <c r="H197" i="1"/>
  <c r="H195" i="1"/>
  <c r="H194" i="1"/>
  <c r="H193" i="1"/>
  <c r="H192" i="1"/>
  <c r="H191" i="1"/>
  <c r="H190" i="1"/>
  <c r="H189" i="1"/>
  <c r="H188" i="1"/>
  <c r="H187" i="1"/>
  <c r="H186" i="1"/>
  <c r="H185" i="1"/>
  <c r="H184" i="1"/>
  <c r="H183" i="1"/>
  <c r="H182" i="1"/>
  <c r="H181" i="1"/>
  <c r="H180" i="1"/>
  <c r="H179" i="1"/>
  <c r="H178" i="1"/>
  <c r="H177" i="1"/>
  <c r="H176" i="1"/>
  <c r="H175" i="1"/>
  <c r="H174" i="1"/>
  <c r="H173" i="1"/>
  <c r="H172" i="1"/>
  <c r="H171" i="1"/>
  <c r="H170" i="1"/>
  <c r="H169" i="1"/>
  <c r="H168" i="1"/>
  <c r="H167" i="1"/>
  <c r="H166" i="1"/>
  <c r="H165" i="1"/>
  <c r="H164" i="1"/>
  <c r="H163" i="1"/>
  <c r="H162" i="1"/>
  <c r="H161" i="1"/>
  <c r="H160" i="1"/>
  <c r="H159" i="1"/>
  <c r="H158" i="1"/>
  <c r="H157" i="1"/>
  <c r="H156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H3" i="1"/>
  <c r="H2" i="1"/>
  <c r="G249" i="1"/>
  <c r="G248" i="1"/>
  <c r="G247" i="1"/>
  <c r="G246" i="1"/>
  <c r="G245" i="1"/>
  <c r="G244" i="1"/>
  <c r="G243" i="1"/>
  <c r="G242" i="1"/>
  <c r="G241" i="1"/>
  <c r="G240" i="1"/>
  <c r="G239" i="1"/>
  <c r="G238" i="1"/>
  <c r="G237" i="1"/>
  <c r="G236" i="1"/>
  <c r="G235" i="1"/>
  <c r="G234" i="1"/>
  <c r="G233" i="1"/>
  <c r="G232" i="1"/>
  <c r="G231" i="1"/>
  <c r="G230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G209" i="1"/>
  <c r="G208" i="1"/>
  <c r="G207" i="1"/>
  <c r="G206" i="1"/>
  <c r="G205" i="1"/>
  <c r="G204" i="1"/>
  <c r="G203" i="1"/>
  <c r="G202" i="1"/>
  <c r="G201" i="1"/>
  <c r="G200" i="1"/>
  <c r="G199" i="1"/>
  <c r="G197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  <c r="G2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09" i="1"/>
  <c r="F208" i="1"/>
  <c r="F207" i="1"/>
  <c r="F206" i="1"/>
  <c r="F205" i="1"/>
  <c r="F204" i="1"/>
  <c r="F203" i="1"/>
  <c r="F202" i="1"/>
  <c r="F201" i="1"/>
  <c r="F200" i="1"/>
  <c r="F199" i="1"/>
  <c r="F197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  <c r="F2" i="1"/>
  <c r="E249" i="1"/>
  <c r="E248" i="1"/>
  <c r="E247" i="1"/>
  <c r="E246" i="1"/>
  <c r="E245" i="1"/>
  <c r="E244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E226" i="1"/>
  <c r="E225" i="1"/>
  <c r="E224" i="1"/>
  <c r="E223" i="1"/>
  <c r="E222" i="1"/>
  <c r="E221" i="1"/>
  <c r="E220" i="1"/>
  <c r="E219" i="1"/>
  <c r="E218" i="1"/>
  <c r="E217" i="1"/>
  <c r="E216" i="1"/>
  <c r="E215" i="1"/>
  <c r="E214" i="1"/>
  <c r="E213" i="1"/>
  <c r="E212" i="1"/>
  <c r="E211" i="1"/>
  <c r="E209" i="1"/>
  <c r="E208" i="1"/>
  <c r="E207" i="1"/>
  <c r="E206" i="1"/>
  <c r="E205" i="1"/>
  <c r="E204" i="1"/>
  <c r="E203" i="1"/>
  <c r="E202" i="1"/>
  <c r="E201" i="1"/>
  <c r="E200" i="1"/>
  <c r="E199" i="1"/>
  <c r="E197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E2" i="1"/>
  <c r="D249" i="1"/>
  <c r="D248" i="1"/>
  <c r="D247" i="1"/>
  <c r="D246" i="1"/>
  <c r="D245" i="1"/>
  <c r="D244" i="1"/>
  <c r="D243" i="1"/>
  <c r="D242" i="1"/>
  <c r="D241" i="1"/>
  <c r="D240" i="1"/>
  <c r="D239" i="1"/>
  <c r="D238" i="1"/>
  <c r="D237" i="1"/>
  <c r="D236" i="1"/>
  <c r="D235" i="1"/>
  <c r="D234" i="1"/>
  <c r="D233" i="1"/>
  <c r="D232" i="1"/>
  <c r="D231" i="1"/>
  <c r="D230" i="1"/>
  <c r="D229" i="1"/>
  <c r="D228" i="1"/>
  <c r="D227" i="1"/>
  <c r="D226" i="1"/>
  <c r="D225" i="1"/>
  <c r="D224" i="1"/>
  <c r="D223" i="1"/>
  <c r="D222" i="1"/>
  <c r="D221" i="1"/>
  <c r="D220" i="1"/>
  <c r="D219" i="1"/>
  <c r="D218" i="1"/>
  <c r="D217" i="1"/>
  <c r="D216" i="1"/>
  <c r="D215" i="1"/>
  <c r="D214" i="1"/>
  <c r="D213" i="1"/>
  <c r="D212" i="1"/>
  <c r="D211" i="1"/>
  <c r="D209" i="1"/>
  <c r="D208" i="1"/>
  <c r="D207" i="1"/>
  <c r="D206" i="1"/>
  <c r="D205" i="1"/>
  <c r="D204" i="1"/>
  <c r="D203" i="1"/>
  <c r="D202" i="1"/>
  <c r="D201" i="1"/>
  <c r="D200" i="1"/>
  <c r="D199" i="1"/>
  <c r="D197" i="1"/>
  <c r="D195" i="1"/>
  <c r="D194" i="1"/>
  <c r="D193" i="1"/>
  <c r="D192" i="1"/>
  <c r="D191" i="1"/>
  <c r="D190" i="1"/>
  <c r="D189" i="1"/>
  <c r="D188" i="1"/>
  <c r="D187" i="1"/>
  <c r="D186" i="1"/>
  <c r="D185" i="1"/>
  <c r="D184" i="1"/>
  <c r="D183" i="1"/>
  <c r="D182" i="1"/>
  <c r="D181" i="1"/>
  <c r="D180" i="1"/>
  <c r="D179" i="1"/>
  <c r="D178" i="1"/>
  <c r="D177" i="1"/>
  <c r="D176" i="1"/>
  <c r="D175" i="1"/>
  <c r="D174" i="1"/>
  <c r="D173" i="1"/>
  <c r="D172" i="1"/>
  <c r="D171" i="1"/>
  <c r="D170" i="1"/>
  <c r="D169" i="1"/>
  <c r="D168" i="1"/>
  <c r="D167" i="1"/>
  <c r="D166" i="1"/>
  <c r="D165" i="1"/>
  <c r="D164" i="1"/>
  <c r="D163" i="1"/>
  <c r="D162" i="1"/>
  <c r="D161" i="1"/>
  <c r="D160" i="1"/>
  <c r="D159" i="1"/>
  <c r="D158" i="1"/>
  <c r="D157" i="1"/>
  <c r="D156" i="1"/>
  <c r="D154" i="1"/>
  <c r="D153" i="1"/>
  <c r="D152" i="1"/>
  <c r="D151" i="1"/>
  <c r="D150" i="1"/>
  <c r="D149" i="1"/>
  <c r="D148" i="1"/>
  <c r="D147" i="1"/>
  <c r="D146" i="1"/>
  <c r="D145" i="1"/>
  <c r="D144" i="1"/>
  <c r="D143" i="1"/>
  <c r="D142" i="1"/>
  <c r="D141" i="1"/>
  <c r="D140" i="1"/>
  <c r="D139" i="1"/>
  <c r="D138" i="1"/>
  <c r="D137" i="1"/>
  <c r="D136" i="1"/>
  <c r="D135" i="1"/>
  <c r="D134" i="1"/>
  <c r="D133" i="1"/>
  <c r="D132" i="1"/>
  <c r="D131" i="1"/>
  <c r="D130" i="1"/>
  <c r="D129" i="1"/>
  <c r="D128" i="1"/>
  <c r="D127" i="1"/>
  <c r="D126" i="1"/>
  <c r="D125" i="1"/>
  <c r="D124" i="1"/>
  <c r="D123" i="1"/>
  <c r="D122" i="1"/>
  <c r="D121" i="1"/>
  <c r="D119" i="1"/>
  <c r="D118" i="1"/>
  <c r="D117" i="1"/>
  <c r="D116" i="1"/>
  <c r="D115" i="1"/>
  <c r="D114" i="1"/>
  <c r="D113" i="1"/>
  <c r="D112" i="1"/>
  <c r="D111" i="1"/>
  <c r="D110" i="1"/>
  <c r="D109" i="1"/>
  <c r="D108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D3" i="1"/>
  <c r="D2" i="1"/>
  <c r="C249" i="1"/>
  <c r="C248" i="1"/>
  <c r="C247" i="1"/>
  <c r="C246" i="1"/>
  <c r="C245" i="1"/>
  <c r="C244" i="1"/>
  <c r="C243" i="1"/>
  <c r="C242" i="1"/>
  <c r="C241" i="1"/>
  <c r="C240" i="1"/>
  <c r="C239" i="1"/>
  <c r="C238" i="1"/>
  <c r="C237" i="1"/>
  <c r="C236" i="1"/>
  <c r="C235" i="1"/>
  <c r="C234" i="1"/>
  <c r="C233" i="1"/>
  <c r="C232" i="1"/>
  <c r="C231" i="1"/>
  <c r="C230" i="1"/>
  <c r="C229" i="1"/>
  <c r="C228" i="1"/>
  <c r="C227" i="1"/>
  <c r="C226" i="1"/>
  <c r="C225" i="1"/>
  <c r="C224" i="1"/>
  <c r="C223" i="1"/>
  <c r="C222" i="1"/>
  <c r="C221" i="1"/>
  <c r="C220" i="1"/>
  <c r="C219" i="1"/>
  <c r="C218" i="1"/>
  <c r="C217" i="1"/>
  <c r="C216" i="1"/>
  <c r="C215" i="1"/>
  <c r="C214" i="1"/>
  <c r="C213" i="1"/>
  <c r="C212" i="1"/>
  <c r="C211" i="1"/>
  <c r="C209" i="1"/>
  <c r="C208" i="1"/>
  <c r="C207" i="1"/>
  <c r="C206" i="1"/>
  <c r="C205" i="1"/>
  <c r="C204" i="1"/>
  <c r="C203" i="1"/>
  <c r="C202" i="1"/>
  <c r="C201" i="1"/>
  <c r="C200" i="1"/>
  <c r="C199" i="1"/>
  <c r="C197" i="1"/>
  <c r="C195" i="1"/>
  <c r="C194" i="1"/>
  <c r="C193" i="1"/>
  <c r="C192" i="1"/>
  <c r="C191" i="1"/>
  <c r="C190" i="1"/>
  <c r="C189" i="1"/>
  <c r="C188" i="1"/>
  <c r="C187" i="1"/>
  <c r="C186" i="1"/>
  <c r="C185" i="1"/>
  <c r="C184" i="1"/>
  <c r="C183" i="1"/>
  <c r="C182" i="1"/>
  <c r="C181" i="1"/>
  <c r="C180" i="1"/>
  <c r="C179" i="1"/>
  <c r="C178" i="1"/>
  <c r="C177" i="1"/>
  <c r="C176" i="1"/>
  <c r="C175" i="1"/>
  <c r="C174" i="1"/>
  <c r="C173" i="1"/>
  <c r="C172" i="1"/>
  <c r="C171" i="1"/>
  <c r="C170" i="1"/>
  <c r="C169" i="1"/>
  <c r="C168" i="1"/>
  <c r="C167" i="1"/>
  <c r="C166" i="1"/>
  <c r="C165" i="1"/>
  <c r="C164" i="1"/>
  <c r="C163" i="1"/>
  <c r="C162" i="1"/>
  <c r="C161" i="1"/>
  <c r="C160" i="1"/>
  <c r="C159" i="1"/>
  <c r="C158" i="1"/>
  <c r="C157" i="1"/>
  <c r="C156" i="1"/>
  <c r="C154" i="1"/>
  <c r="C153" i="1"/>
  <c r="C152" i="1"/>
  <c r="C151" i="1"/>
  <c r="C150" i="1"/>
  <c r="C149" i="1"/>
  <c r="C148" i="1"/>
  <c r="C147" i="1"/>
  <c r="C146" i="1"/>
  <c r="C145" i="1"/>
  <c r="C144" i="1"/>
  <c r="C143" i="1"/>
  <c r="C142" i="1"/>
  <c r="C141" i="1"/>
  <c r="C140" i="1"/>
  <c r="C139" i="1"/>
  <c r="C138" i="1"/>
  <c r="C137" i="1"/>
  <c r="C136" i="1"/>
  <c r="C135" i="1"/>
  <c r="C134" i="1"/>
  <c r="C133" i="1"/>
  <c r="C132" i="1"/>
  <c r="C131" i="1"/>
  <c r="C130" i="1"/>
  <c r="C129" i="1"/>
  <c r="C128" i="1"/>
  <c r="C127" i="1"/>
  <c r="C126" i="1"/>
  <c r="C125" i="1"/>
  <c r="C124" i="1"/>
  <c r="C123" i="1"/>
  <c r="C122" i="1"/>
  <c r="C121" i="1"/>
  <c r="C119" i="1"/>
  <c r="C118" i="1"/>
  <c r="C117" i="1"/>
  <c r="C116" i="1"/>
  <c r="C115" i="1"/>
  <c r="C114" i="1"/>
  <c r="C113" i="1"/>
  <c r="C112" i="1"/>
  <c r="C111" i="1"/>
  <c r="C110" i="1"/>
  <c r="C109" i="1"/>
  <c r="C108" i="1"/>
  <c r="C107" i="1"/>
  <c r="C106" i="1"/>
  <c r="C105" i="1"/>
  <c r="C104" i="1"/>
  <c r="C103" i="1"/>
  <c r="C102" i="1"/>
  <c r="C101" i="1"/>
  <c r="C100" i="1"/>
  <c r="C99" i="1"/>
  <c r="C98" i="1"/>
  <c r="C97" i="1"/>
  <c r="C96" i="1"/>
  <c r="C95" i="1"/>
  <c r="C94" i="1"/>
  <c r="C93" i="1"/>
  <c r="C92" i="1"/>
  <c r="C91" i="1"/>
  <c r="C90" i="1"/>
  <c r="C89" i="1"/>
  <c r="C88" i="1"/>
  <c r="C87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C3" i="1"/>
  <c r="C2" i="1"/>
</calcChain>
</file>

<file path=xl/sharedStrings.xml><?xml version="1.0" encoding="utf-8"?>
<sst xmlns="http://schemas.openxmlformats.org/spreadsheetml/2006/main" count="768" uniqueCount="570">
  <si>
    <t>JOB CLASS NUMBER</t>
  </si>
  <si>
    <t>FORMER TITLES</t>
  </si>
  <si>
    <t>Access to Justice Coord</t>
  </si>
  <si>
    <t>R42479</t>
  </si>
  <si>
    <t>Account Clerk</t>
  </si>
  <si>
    <t>R52100</t>
  </si>
  <si>
    <t xml:space="preserve">Account Clerk </t>
  </si>
  <si>
    <t>Accountant I</t>
  </si>
  <si>
    <t>R43240</t>
  </si>
  <si>
    <t>Accountant II</t>
  </si>
  <si>
    <t>R43330</t>
  </si>
  <si>
    <t>Accountant III</t>
  </si>
  <si>
    <t>R43331</t>
  </si>
  <si>
    <t>Accountant IV</t>
  </si>
  <si>
    <t>R43332</t>
  </si>
  <si>
    <t>Administrative Coordinator</t>
  </si>
  <si>
    <t>R41060</t>
  </si>
  <si>
    <t>Staff Assistant (District)</t>
  </si>
  <si>
    <t>Administrative Office Manager</t>
  </si>
  <si>
    <t>R41806</t>
  </si>
  <si>
    <t>Administrative Office Specialist I</t>
  </si>
  <si>
    <t>R41803</t>
  </si>
  <si>
    <t xml:space="preserve">Administrative Office Specialist I </t>
  </si>
  <si>
    <t>Administrative Office Specialist II</t>
  </si>
  <si>
    <t>R41804</t>
  </si>
  <si>
    <t xml:space="preserve">Administrative Office Specialist II </t>
  </si>
  <si>
    <t>Administrative Office Supervisor</t>
  </si>
  <si>
    <t>R41805</t>
  </si>
  <si>
    <t>Administrator of Judicial Security</t>
  </si>
  <si>
    <t>R43551</t>
  </si>
  <si>
    <t>Appellate Court Assistant</t>
  </si>
  <si>
    <t>R41710</t>
  </si>
  <si>
    <t>Appellate Court Assistant I</t>
  </si>
  <si>
    <t>Appellate Law Clerk</t>
  </si>
  <si>
    <t>R45030</t>
  </si>
  <si>
    <t>Application Security Engineer</t>
  </si>
  <si>
    <t>R44037</t>
  </si>
  <si>
    <t>Architect &amp; Facilities Planning Manager</t>
  </si>
  <si>
    <t>R43540</t>
  </si>
  <si>
    <t>Assistant Chief Building Engineer</t>
  </si>
  <si>
    <t>R43553</t>
  </si>
  <si>
    <t>Assistant Legal Counsel (SCAO)</t>
  </si>
  <si>
    <t>R43020</t>
  </si>
  <si>
    <t>Assistant Property Manager</t>
  </si>
  <si>
    <t>R43554</t>
  </si>
  <si>
    <t>Assistant Reporter of Decisions</t>
  </si>
  <si>
    <t>R45071</t>
  </si>
  <si>
    <t>Audio Visual Engineer I</t>
  </si>
  <si>
    <t>R43547</t>
  </si>
  <si>
    <t>Audio Visual Engineer II</t>
  </si>
  <si>
    <t>R43548</t>
  </si>
  <si>
    <t>Audit Manager</t>
  </si>
  <si>
    <t>R43430</t>
  </si>
  <si>
    <t>Auditor I</t>
  </si>
  <si>
    <t>R43400</t>
  </si>
  <si>
    <t>Auditor II</t>
  </si>
  <si>
    <t>R43410</t>
  </si>
  <si>
    <t>Auditor III</t>
  </si>
  <si>
    <t>R43420</t>
  </si>
  <si>
    <t>Auxiliary Services</t>
  </si>
  <si>
    <t>R51100</t>
  </si>
  <si>
    <t>Benefits Specialist</t>
  </si>
  <si>
    <t>R43341</t>
  </si>
  <si>
    <t>Budget Analyst I</t>
  </si>
  <si>
    <t>R43351</t>
  </si>
  <si>
    <t>Budget Analyst II</t>
  </si>
  <si>
    <t>R43352</t>
  </si>
  <si>
    <t>Budget Manager</t>
  </si>
  <si>
    <t>R43370</t>
  </si>
  <si>
    <t>Building Engineer I</t>
  </si>
  <si>
    <t>R43541</t>
  </si>
  <si>
    <t>Building Engineer II</t>
  </si>
  <si>
    <t>R43542</t>
  </si>
  <si>
    <t>Building Engineer III</t>
  </si>
  <si>
    <t>R43543</t>
  </si>
  <si>
    <t>Business Analyst I</t>
  </si>
  <si>
    <t>R44071</t>
  </si>
  <si>
    <t>Business Analyst II</t>
  </si>
  <si>
    <t>R44072</t>
  </si>
  <si>
    <t>Business Intelligence Analyst</t>
  </si>
  <si>
    <t>R41841</t>
  </si>
  <si>
    <t>Business Intelligence Developer</t>
  </si>
  <si>
    <t>R41840</t>
  </si>
  <si>
    <t>Case Mgr-Useful Publ Srvc</t>
  </si>
  <si>
    <t>R41490</t>
  </si>
  <si>
    <t>Case Manager, Useful Public Service</t>
  </si>
  <si>
    <t>Chief Building Engineer</t>
  </si>
  <si>
    <t>R43545</t>
  </si>
  <si>
    <t>Chief of Staff for Chief Judge COA</t>
  </si>
  <si>
    <t>R41741</t>
  </si>
  <si>
    <t>Chief of Staff for Chief Justice COA</t>
  </si>
  <si>
    <t>Chief Staff Attorney</t>
  </si>
  <si>
    <t>R45330</t>
  </si>
  <si>
    <t>Child Support Services Coordinator</t>
  </si>
  <si>
    <t>R43450</t>
  </si>
  <si>
    <t>Clerk of Court I</t>
  </si>
  <si>
    <t>R41110</t>
  </si>
  <si>
    <r>
      <t xml:space="preserve">Clerk of Court I </t>
    </r>
    <r>
      <rPr>
        <b/>
        <sz val="12"/>
        <color rgb="FF000000"/>
        <rFont val="Arial"/>
        <family val="2"/>
      </rPr>
      <t xml:space="preserve"> </t>
    </r>
  </si>
  <si>
    <t>Clerk of Court II</t>
  </si>
  <si>
    <t>R41120</t>
  </si>
  <si>
    <t>Clerk of Court III</t>
  </si>
  <si>
    <t>R41130</t>
  </si>
  <si>
    <t xml:space="preserve">Clerk of Court III </t>
  </si>
  <si>
    <t>Clerk of Court IV</t>
  </si>
  <si>
    <t>R41140</t>
  </si>
  <si>
    <t xml:space="preserve">Clerk of Court IV </t>
  </si>
  <si>
    <t>Clerk of Court V</t>
  </si>
  <si>
    <t>R41150</t>
  </si>
  <si>
    <t>Clerk of Court VI</t>
  </si>
  <si>
    <t>R41160</t>
  </si>
  <si>
    <t xml:space="preserve">Clerk of Court VI </t>
  </si>
  <si>
    <t>Clerk of Court VII</t>
  </si>
  <si>
    <t>R41170</t>
  </si>
  <si>
    <t xml:space="preserve">Clerk of Court VII </t>
  </si>
  <si>
    <t>Clerk of Court VIII</t>
  </si>
  <si>
    <t>R41171</t>
  </si>
  <si>
    <t xml:space="preserve">Clerk of Court VIII </t>
  </si>
  <si>
    <t>Clerk of the Court of Appeals</t>
  </si>
  <si>
    <t>R46010</t>
  </si>
  <si>
    <t>Clerk of the Supreme Court</t>
  </si>
  <si>
    <t>R41180</t>
  </si>
  <si>
    <t>Collections Assistant</t>
  </si>
  <si>
    <t>R41360</t>
  </si>
  <si>
    <t>Collections Investigator</t>
  </si>
  <si>
    <t>R41350</t>
  </si>
  <si>
    <t xml:space="preserve">Collections Investigator </t>
  </si>
  <si>
    <t>Compensation &amp; Classification Analyst</t>
  </si>
  <si>
    <t>R43213</t>
  </si>
  <si>
    <t>Compensation &amp; Classification Supervisor</t>
  </si>
  <si>
    <t>R43217</t>
  </si>
  <si>
    <t>Conference Event Planner/Coordinator</t>
  </si>
  <si>
    <t>R43476</t>
  </si>
  <si>
    <t>Contract Management Specialist</t>
  </si>
  <si>
    <t>R46205</t>
  </si>
  <si>
    <t>Contracts Specialist I</t>
  </si>
  <si>
    <t>R46204</t>
  </si>
  <si>
    <t>Contracts Specialist II</t>
  </si>
  <si>
    <t>R46207</t>
  </si>
  <si>
    <t>Contracts Specialist III</t>
  </si>
  <si>
    <t>R46208</t>
  </si>
  <si>
    <t>Controller</t>
  </si>
  <si>
    <t>R43371</t>
  </si>
  <si>
    <t>Correctional Treatment Board Coordinator</t>
  </si>
  <si>
    <t>R43484</t>
  </si>
  <si>
    <t>Counsel to the Chief Justice</t>
  </si>
  <si>
    <t>R45326</t>
  </si>
  <si>
    <t>Court Education Specialist</t>
  </si>
  <si>
    <t>R42470</t>
  </si>
  <si>
    <t>Court Interpreter</t>
  </si>
  <si>
    <t>R41621</t>
  </si>
  <si>
    <t>Court Operations Analyst</t>
  </si>
  <si>
    <t>R41441</t>
  </si>
  <si>
    <t>Court Operations Specialist</t>
  </si>
  <si>
    <t>Court Programs Analyst I</t>
  </si>
  <si>
    <t>R42472</t>
  </si>
  <si>
    <t>Court Programs Analyst II</t>
  </si>
  <si>
    <t>R42473</t>
  </si>
  <si>
    <t>Court Programs Analyst III</t>
  </si>
  <si>
    <t>R42474</t>
  </si>
  <si>
    <t>Court Programs Analyst IV</t>
  </si>
  <si>
    <t>R42475</t>
  </si>
  <si>
    <t>Court Reporter I (uncertified)</t>
  </si>
  <si>
    <t>R41610</t>
  </si>
  <si>
    <t>Court Reporter II (Certified)</t>
  </si>
  <si>
    <t>R41630</t>
  </si>
  <si>
    <t>Court Reporter II (certified)</t>
  </si>
  <si>
    <t>Court Reporter III (CO standard)</t>
  </si>
  <si>
    <t>R41611</t>
  </si>
  <si>
    <t>Court Reporter I (Real Time)</t>
  </si>
  <si>
    <t>Court Reporter IV (CRR)</t>
  </si>
  <si>
    <t>R41631</t>
  </si>
  <si>
    <t>Court Reporter II (Real Time)</t>
  </si>
  <si>
    <t>Court Supervisor I</t>
  </si>
  <si>
    <t>R57200</t>
  </si>
  <si>
    <t>Supervisor I</t>
  </si>
  <si>
    <t>Court Supervisor II</t>
  </si>
  <si>
    <t>R57300</t>
  </si>
  <si>
    <r>
      <t>Supervisor II;</t>
    </r>
    <r>
      <rPr>
        <sz val="12"/>
        <color rgb="FF00B0F0"/>
        <rFont val="Arial"/>
        <family val="2"/>
      </rPr>
      <t xml:space="preserve"> </t>
    </r>
  </si>
  <si>
    <t>Court Translator- Spanish</t>
  </si>
  <si>
    <t>R41623</t>
  </si>
  <si>
    <t>Customer Support Team Lead</t>
  </si>
  <si>
    <t>R44080</t>
  </si>
  <si>
    <t>Customer Support Technician I</t>
  </si>
  <si>
    <t>R44081</t>
  </si>
  <si>
    <t>Customer Support Technician II</t>
  </si>
  <si>
    <t>R44082</t>
  </si>
  <si>
    <t>Deputy Chief Probation Officer</t>
  </si>
  <si>
    <t>R42120</t>
  </si>
  <si>
    <t>Deputy Chief Staff Attorney</t>
  </si>
  <si>
    <t>R45320</t>
  </si>
  <si>
    <t>Deputy Court Executive</t>
  </si>
  <si>
    <t>R41070</t>
  </si>
  <si>
    <t>Deputy Director of Court Services</t>
  </si>
  <si>
    <t>R42476</t>
  </si>
  <si>
    <t>Deputy Director of Financial Services</t>
  </si>
  <si>
    <t>R43360</t>
  </si>
  <si>
    <t>Deputy Director of Human Resources</t>
  </si>
  <si>
    <t>R43201</t>
  </si>
  <si>
    <t>Deputy Director of ITS</t>
  </si>
  <si>
    <t>R44011</t>
  </si>
  <si>
    <t>Deputy Director of Probation Services</t>
  </si>
  <si>
    <t>R43131</t>
  </si>
  <si>
    <t>Director of ODR</t>
  </si>
  <si>
    <t>R43120</t>
  </si>
  <si>
    <t>Distance Learning Program Manager</t>
  </si>
  <si>
    <t>R43473</t>
  </si>
  <si>
    <t>Distance Learning Specialist</t>
  </si>
  <si>
    <t>R43474</t>
  </si>
  <si>
    <t>Education Specialist</t>
  </si>
  <si>
    <t>R43470</t>
  </si>
  <si>
    <t>Executive Assistant SCAO</t>
  </si>
  <si>
    <t>R41050</t>
  </si>
  <si>
    <t>Staff Assistant (SCAO)</t>
  </si>
  <si>
    <t>Executive Assistant to the SCA</t>
  </si>
  <si>
    <t>R41051</t>
  </si>
  <si>
    <t xml:space="preserve">Executive Assistant to the SCA </t>
  </si>
  <si>
    <t>Facilities Designer/Planner</t>
  </si>
  <si>
    <t>R43550</t>
  </si>
  <si>
    <t>Family Court Facilitator</t>
  </si>
  <si>
    <t>R43030</t>
  </si>
  <si>
    <t xml:space="preserve">Family Court Facilitator </t>
  </si>
  <si>
    <t>Financial Analyst I</t>
  </si>
  <si>
    <t>R46110</t>
  </si>
  <si>
    <t>Financial Analyst II</t>
  </si>
  <si>
    <t>R46111</t>
  </si>
  <si>
    <t>Financial Analyst III</t>
  </si>
  <si>
    <t>R46112</t>
  </si>
  <si>
    <t>Financial System Owner</t>
  </si>
  <si>
    <t>R46400</t>
  </si>
  <si>
    <t>Financial Systems Support</t>
  </si>
  <si>
    <t>R46410</t>
  </si>
  <si>
    <t>First Assistant Legal Counsel (SCAO)</t>
  </si>
  <si>
    <t>R43010</t>
  </si>
  <si>
    <t>HR Systems Support</t>
  </si>
  <si>
    <t>R43223</t>
  </si>
  <si>
    <t>HR Workforce Data Analyst</t>
  </si>
  <si>
    <t>R43214</t>
  </si>
  <si>
    <t>Human Resources Analyst I</t>
  </si>
  <si>
    <t>R43211</t>
  </si>
  <si>
    <t>Human Resources Analyst II</t>
  </si>
  <si>
    <t>R43210</t>
  </si>
  <si>
    <t>Human Resources Analyst III</t>
  </si>
  <si>
    <t>R43209</t>
  </si>
  <si>
    <t>Human Resources Analyst IV</t>
  </si>
  <si>
    <t>R43208</t>
  </si>
  <si>
    <t>Human Resources Assistant</t>
  </si>
  <si>
    <t>R41850</t>
  </si>
  <si>
    <t>Human Resources System Owner</t>
  </si>
  <si>
    <t>R43218</t>
  </si>
  <si>
    <t>Human Resources Technician</t>
  </si>
  <si>
    <t>R43212</t>
  </si>
  <si>
    <t>Human Resources Technology Specialist</t>
  </si>
  <si>
    <t>R43477</t>
  </si>
  <si>
    <t>Information Security Analyst</t>
  </si>
  <si>
    <t>R44038</t>
  </si>
  <si>
    <t>Integrated Information Systems Coordinator</t>
  </si>
  <si>
    <t>R44130</t>
  </si>
  <si>
    <t>Interpreter Scheduler</t>
  </si>
  <si>
    <t>R41651</t>
  </si>
  <si>
    <t>Interstate Compact Specialist</t>
  </si>
  <si>
    <t>R43489</t>
  </si>
  <si>
    <t>IT Project Manager</t>
  </si>
  <si>
    <t>R44155</t>
  </si>
  <si>
    <t>IT Support Technician I</t>
  </si>
  <si>
    <t>R44310</t>
  </si>
  <si>
    <t>IT Support Technician II</t>
  </si>
  <si>
    <t>R44320</t>
  </si>
  <si>
    <t>ITS Applications Administrator</t>
  </si>
  <si>
    <t>R44201</t>
  </si>
  <si>
    <t>ITS Business Operations Analyst</t>
  </si>
  <si>
    <t>R44322</t>
  </si>
  <si>
    <t>ITS Business Operations Manager</t>
  </si>
  <si>
    <t>R44160</t>
  </si>
  <si>
    <t>Judicial Clerk I</t>
  </si>
  <si>
    <t>R51250</t>
  </si>
  <si>
    <t>Court Judicial Assistant</t>
  </si>
  <si>
    <t>Judicial Clerk II</t>
  </si>
  <si>
    <t>R11111</t>
  </si>
  <si>
    <t>n/a</t>
  </si>
  <si>
    <t>Judicial Clerk III</t>
  </si>
  <si>
    <t>R57100</t>
  </si>
  <si>
    <t>Specialist, Court Judicial Assistant</t>
  </si>
  <si>
    <t>Judicial Officer Outreach Program Lead</t>
  </si>
  <si>
    <t>R43225</t>
  </si>
  <si>
    <t>Judicial Officer Outreach Program Specialist</t>
  </si>
  <si>
    <t>R43219</t>
  </si>
  <si>
    <t>Jury Commissioner</t>
  </si>
  <si>
    <t>R41210</t>
  </si>
  <si>
    <t xml:space="preserve">Jury Commissioner </t>
  </si>
  <si>
    <t>Law Clerk</t>
  </si>
  <si>
    <t>R45010</t>
  </si>
  <si>
    <t>Law Librarian</t>
  </si>
  <si>
    <t>R45110</t>
  </si>
  <si>
    <t>R43544</t>
  </si>
  <si>
    <t>Lead Audio Visual Architect</t>
  </si>
  <si>
    <t>Lead Benefits Specialist</t>
  </si>
  <si>
    <t>R43342</t>
  </si>
  <si>
    <t>Lead Business Systems Analyst</t>
  </si>
  <si>
    <t>R44074</t>
  </si>
  <si>
    <t>Lead Collections Investigator</t>
  </si>
  <si>
    <t>R41370</t>
  </si>
  <si>
    <t>Lead iSeries Systems Architect</t>
  </si>
  <si>
    <t>R44027</t>
  </si>
  <si>
    <t>Lead Network Architect</t>
  </si>
  <si>
    <t>R44020</t>
  </si>
  <si>
    <t>Lead Principal Software Engineer</t>
  </si>
  <si>
    <t>R44225</t>
  </si>
  <si>
    <t>Lead Security Architect</t>
  </si>
  <si>
    <t>R44041</t>
  </si>
  <si>
    <t>Lead Systems Architect</t>
  </si>
  <si>
    <t>R44030</t>
  </si>
  <si>
    <t>Leadership Development Administrator</t>
  </si>
  <si>
    <t>R43321</t>
  </si>
  <si>
    <t>Learning Center Manager</t>
  </si>
  <si>
    <t>R43391</t>
  </si>
  <si>
    <t>Staff Assistant</t>
  </si>
  <si>
    <t>Legal Contracts Manager</t>
  </si>
  <si>
    <t>R46206</t>
  </si>
  <si>
    <t>Legal Research Attorney</t>
  </si>
  <si>
    <t>R45020</t>
  </si>
  <si>
    <t>Legislative Liaison</t>
  </si>
  <si>
    <t>R47000</t>
  </si>
  <si>
    <t>Lobby Assistant</t>
  </si>
  <si>
    <t>R43556</t>
  </si>
  <si>
    <t>Manager of AV &amp; Network Architecture</t>
  </si>
  <si>
    <t>R44019</t>
  </si>
  <si>
    <t>Manager of Culture and Leadership</t>
  </si>
  <si>
    <t>R49010</t>
  </si>
  <si>
    <t>Manager of Data Analytics/QA</t>
  </si>
  <si>
    <t>R44060</t>
  </si>
  <si>
    <t>Manager of Information Security</t>
  </si>
  <si>
    <t>R44350</t>
  </si>
  <si>
    <t>Manager of Infrastructure</t>
  </si>
  <si>
    <t>R44059</t>
  </si>
  <si>
    <t>Manager of Portfolio &amp; Programs</t>
  </si>
  <si>
    <t>R44292</t>
  </si>
  <si>
    <t>Manager of Software Arch &amp; Design</t>
  </si>
  <si>
    <t>R44291</t>
  </si>
  <si>
    <t>Manager of Technical Services</t>
  </si>
  <si>
    <t>R44330</t>
  </si>
  <si>
    <t>Managing Court Interpreter</t>
  </si>
  <si>
    <t>R41650</t>
  </si>
  <si>
    <t>Managing Court Interpreter II</t>
  </si>
  <si>
    <t>R41649</t>
  </si>
  <si>
    <t>Managing Court Reporter</t>
  </si>
  <si>
    <t>R41640</t>
  </si>
  <si>
    <t>Managing Court Reporter I</t>
  </si>
  <si>
    <t>R41461</t>
  </si>
  <si>
    <t>Managing Court Reporter I (Real Time)</t>
  </si>
  <si>
    <t>Managing Court Reporter II</t>
  </si>
  <si>
    <t>R41462</t>
  </si>
  <si>
    <t>Managing Court Reporter II (Real Time)</t>
  </si>
  <si>
    <t>Mediation Coordinator</t>
  </si>
  <si>
    <t>R41295</t>
  </si>
  <si>
    <t>Network Engineer I</t>
  </si>
  <si>
    <t>R44031</t>
  </si>
  <si>
    <t>Network Engineer II</t>
  </si>
  <si>
    <t>R44032</t>
  </si>
  <si>
    <t>Network Security Engineer</t>
  </si>
  <si>
    <t>R44035</t>
  </si>
  <si>
    <t>Payroll Analyst</t>
  </si>
  <si>
    <t>R43231</t>
  </si>
  <si>
    <t>Payroll Supervisor</t>
  </si>
  <si>
    <t>R43230</t>
  </si>
  <si>
    <t>Peer Training Specialist</t>
  </si>
  <si>
    <t>R56000</t>
  </si>
  <si>
    <t>Probation Compact Administrator</t>
  </si>
  <si>
    <t>R42130</t>
  </si>
  <si>
    <t>Probation Manager</t>
  </si>
  <si>
    <t>R42122</t>
  </si>
  <si>
    <t xml:space="preserve">Probation Manager </t>
  </si>
  <si>
    <t>Probation Officer</t>
  </si>
  <si>
    <t>R58000</t>
  </si>
  <si>
    <t xml:space="preserve">Probation Officer </t>
  </si>
  <si>
    <t>Probation Services Analyst I</t>
  </si>
  <si>
    <t>R43485</t>
  </si>
  <si>
    <t>Probation Services Analyst II</t>
  </si>
  <si>
    <t>R43486</t>
  </si>
  <si>
    <t>Probation Services Analyst III</t>
  </si>
  <si>
    <t>R43487</t>
  </si>
  <si>
    <t>Probation Services Analyst IV</t>
  </si>
  <si>
    <t>R43488</t>
  </si>
  <si>
    <t>Probation Supervisor</t>
  </si>
  <si>
    <t>R58100</t>
  </si>
  <si>
    <t xml:space="preserve">Probation Supervisor </t>
  </si>
  <si>
    <t>Probation Support Specialist</t>
  </si>
  <si>
    <t>R51300</t>
  </si>
  <si>
    <t>Support Services</t>
  </si>
  <si>
    <t>Probation Support Supervisor I</t>
  </si>
  <si>
    <t>R41801</t>
  </si>
  <si>
    <t>Administrative Supervisor I</t>
  </si>
  <si>
    <t>Probation Support Supervisor II</t>
  </si>
  <si>
    <t>R41802</t>
  </si>
  <si>
    <t xml:space="preserve">Administrative Supervisor II </t>
  </si>
  <si>
    <t>Problem Solving Court Coordinator I</t>
  </si>
  <si>
    <t>R41671</t>
  </si>
  <si>
    <t>Problem Solving Court Coordinator II</t>
  </si>
  <si>
    <t>R41672</t>
  </si>
  <si>
    <t>Project Analyst</t>
  </si>
  <si>
    <t>R44156</t>
  </si>
  <si>
    <t>Property Administrator</t>
  </si>
  <si>
    <t>R43555</t>
  </si>
  <si>
    <t>Property Manager</t>
  </si>
  <si>
    <t>R43546</t>
  </si>
  <si>
    <t>Protective Proceedings Monitor</t>
  </si>
  <si>
    <t>R43531</t>
  </si>
  <si>
    <t xml:space="preserve">Protective Proceedings Monitor </t>
  </si>
  <si>
    <t>Public Information Coordinator</t>
  </si>
  <si>
    <t>R43222</t>
  </si>
  <si>
    <t>Public Information Manager</t>
  </si>
  <si>
    <t>R44050</t>
  </si>
  <si>
    <t>Purchasing Agent</t>
  </si>
  <si>
    <t>R46200</t>
  </si>
  <si>
    <t>Purchasing Manager</t>
  </si>
  <si>
    <t>R46201</t>
  </si>
  <si>
    <t>QA Analyst I</t>
  </si>
  <si>
    <t>R44061</t>
  </si>
  <si>
    <t>QA Analyst II</t>
  </si>
  <si>
    <t>R44062</t>
  </si>
  <si>
    <t>QA Testing Lead</t>
  </si>
  <si>
    <t>R44068</t>
  </si>
  <si>
    <t>Reporter of Decisions</t>
  </si>
  <si>
    <t>R45070</t>
  </si>
  <si>
    <t>Self-Represented Litigant Coordinator</t>
  </si>
  <si>
    <t>R45040</t>
  </si>
  <si>
    <t>Senior Application Security Engineer</t>
  </si>
  <si>
    <t>R44039</t>
  </si>
  <si>
    <t>Senior Assistant Legal Counsel</t>
  </si>
  <si>
    <t>R43015</t>
  </si>
  <si>
    <t>Senior Audio Visual Engineer</t>
  </si>
  <si>
    <t>R43549</t>
  </si>
  <si>
    <t>Senior Business Analyst</t>
  </si>
  <si>
    <t>R44073</t>
  </si>
  <si>
    <t>Senior Cloud Engineer</t>
  </si>
  <si>
    <t>R44360</t>
  </si>
  <si>
    <t>Senior Customer Support Technician</t>
  </si>
  <si>
    <t>R44083</t>
  </si>
  <si>
    <t>Senior IT Support Technician</t>
  </si>
  <si>
    <t>R44321</t>
  </si>
  <si>
    <t>Senior Manager Communications</t>
  </si>
  <si>
    <t>R43115</t>
  </si>
  <si>
    <t>Senior Network Engineer</t>
  </si>
  <si>
    <t>R44033</t>
  </si>
  <si>
    <t>Senior Network Security Engineer</t>
  </si>
  <si>
    <t>R44034</t>
  </si>
  <si>
    <t>Senior QA Analyst</t>
  </si>
  <si>
    <t>R44063</t>
  </si>
  <si>
    <t>Senior RPG Software Engineer</t>
  </si>
  <si>
    <t>R44301</t>
  </si>
  <si>
    <t>Senior Software Engineer</t>
  </si>
  <si>
    <t>R44300</t>
  </si>
  <si>
    <t>Senior Systems Engineer</t>
  </si>
  <si>
    <t>R44023</t>
  </si>
  <si>
    <t>Senior Unified Communications Engineer</t>
  </si>
  <si>
    <t>R44123</t>
  </si>
  <si>
    <t>Software Engineer I</t>
  </si>
  <si>
    <t>R44210</t>
  </si>
  <si>
    <t>Software Engineer II</t>
  </si>
  <si>
    <t>R44220</t>
  </si>
  <si>
    <t>Sr. Probation Officer</t>
  </si>
  <si>
    <t>R99977</t>
  </si>
  <si>
    <t>Staff Attorney, COA</t>
  </si>
  <si>
    <t>R45310</t>
  </si>
  <si>
    <t>Staff Attorney, Court of Appeals</t>
  </si>
  <si>
    <t>Staff Attorney, Supreme Court</t>
  </si>
  <si>
    <t>R45325</t>
  </si>
  <si>
    <t>Staff Development Administrator</t>
  </si>
  <si>
    <t>R43220</t>
  </si>
  <si>
    <t>Supervising Law Librarian</t>
  </si>
  <si>
    <t>R45120</t>
  </si>
  <si>
    <t>Supervising Legal Research Attorney</t>
  </si>
  <si>
    <t>R45023</t>
  </si>
  <si>
    <t>Supreme Court Librarian</t>
  </si>
  <si>
    <t>R45100</t>
  </si>
  <si>
    <t>Supreme Court Operations Analyst</t>
  </si>
  <si>
    <t>R43392</t>
  </si>
  <si>
    <t>Systems Engineer I</t>
  </si>
  <si>
    <t>R44021</t>
  </si>
  <si>
    <t>Systems Engineer II</t>
  </si>
  <si>
    <t>R44022</t>
  </si>
  <si>
    <t>Systems Security Engineer</t>
  </si>
  <si>
    <t>R44036</t>
  </si>
  <si>
    <t>Talent Management Program Manager</t>
  </si>
  <si>
    <t>R43215</t>
  </si>
  <si>
    <t>Talent Management Specialist</t>
  </si>
  <si>
    <t>R43216</t>
  </si>
  <si>
    <t>Technical Support Team Lead</t>
  </si>
  <si>
    <t>R44340</t>
  </si>
  <si>
    <t>Total Rewards Manager</t>
  </si>
  <si>
    <t>R43340</t>
  </si>
  <si>
    <t>Unified Communications Engineer I</t>
  </si>
  <si>
    <t>R44122</t>
  </si>
  <si>
    <t>Unified Communications Engineer II</t>
  </si>
  <si>
    <t>R44121</t>
  </si>
  <si>
    <t>Vendor Liaison I</t>
  </si>
  <si>
    <t>R46209</t>
  </si>
  <si>
    <t>Vendor Liaison II</t>
  </si>
  <si>
    <t>R46203</t>
  </si>
  <si>
    <t>Veterans Court Peer Mentor Coordinator I</t>
  </si>
  <si>
    <t>R41681</t>
  </si>
  <si>
    <t xml:space="preserve">Vet Crt Peer Mentor Coordinator I </t>
  </si>
  <si>
    <t>Veterans Court Peer Mentor Coordinator II</t>
  </si>
  <si>
    <t>R41682</t>
  </si>
  <si>
    <t xml:space="preserve">Vet Crt Peer Mentor Coordinator II </t>
  </si>
  <si>
    <t>Water Specialist</t>
  </si>
  <si>
    <t>R57000</t>
  </si>
  <si>
    <t xml:space="preserve">Water Specialist </t>
  </si>
  <si>
    <t>Deputy Administrator of Security</t>
  </si>
  <si>
    <t>R44440</t>
  </si>
  <si>
    <t>Lead AV Architect</t>
  </si>
  <si>
    <t>Policy Analyst</t>
  </si>
  <si>
    <t>R41000</t>
  </si>
  <si>
    <t>Senior Manager Communications (Chief Communications Officer)</t>
  </si>
  <si>
    <t>Purchasing Supervisor</t>
  </si>
  <si>
    <t>NA</t>
  </si>
  <si>
    <t>R11112</t>
  </si>
  <si>
    <t>Web Administrator</t>
  </si>
  <si>
    <t>R11113</t>
  </si>
  <si>
    <t>Public Information Media Coordinator</t>
  </si>
  <si>
    <t>R11114</t>
  </si>
  <si>
    <t>Competency Court Coordinator</t>
  </si>
  <si>
    <t>R11115</t>
  </si>
  <si>
    <t>IT Information Management Lead</t>
  </si>
  <si>
    <t>Talent Management Program Supervisor</t>
  </si>
  <si>
    <t>R11116</t>
  </si>
  <si>
    <t>Vendor Liaison Supervisor</t>
  </si>
  <si>
    <t>R11117</t>
  </si>
  <si>
    <t>ITS Information Management Specialist</t>
  </si>
  <si>
    <t>R11118</t>
  </si>
  <si>
    <t>SCAO Assistant</t>
  </si>
  <si>
    <t>R11119</t>
  </si>
  <si>
    <t>ITS Knowledge Mangement Specialist</t>
  </si>
  <si>
    <t>R11120</t>
  </si>
  <si>
    <t>Procurement Manager</t>
  </si>
  <si>
    <t>ITS Training Specialist</t>
  </si>
  <si>
    <t>R11122</t>
  </si>
  <si>
    <t>R11121</t>
  </si>
  <si>
    <t>Legislative Relations Manager</t>
  </si>
  <si>
    <t>R11123</t>
  </si>
  <si>
    <t>2 YEAR STEP</t>
  </si>
  <si>
    <t>4 YEAR STEP</t>
  </si>
  <si>
    <t>6 YEAR STEP</t>
  </si>
  <si>
    <t>8 YEAR STEP</t>
  </si>
  <si>
    <t>9 YEAR STEP</t>
  </si>
  <si>
    <t>11 YEAR STEP</t>
  </si>
  <si>
    <t>13 YEAR STEP</t>
  </si>
  <si>
    <t>14 YEAR STEP</t>
  </si>
  <si>
    <t>16 YEAR STEP</t>
  </si>
  <si>
    <t>18 YEAR STEP</t>
  </si>
  <si>
    <t>19 YEAR STEP</t>
  </si>
  <si>
    <t>21 YEAR STEP</t>
  </si>
  <si>
    <t>22 YEAR STEP</t>
  </si>
  <si>
    <t>24 YEAR STEP</t>
  </si>
  <si>
    <t>*1 YEAR STEP</t>
  </si>
  <si>
    <t>*3 YEAR STEP</t>
  </si>
  <si>
    <t>*5 YEAR STEP</t>
  </si>
  <si>
    <t>*7 YEAR STEP</t>
  </si>
  <si>
    <t>*10 YEAR STEP</t>
  </si>
  <si>
    <t>*12 YEAR STEP</t>
  </si>
  <si>
    <t>*15 YEAR STEP</t>
  </si>
  <si>
    <t>*17 YEAR STEP</t>
  </si>
  <si>
    <t>*20 YEAR STEP</t>
  </si>
  <si>
    <t>*23 YEAR STEP</t>
  </si>
  <si>
    <t>*YEAR 25 SALARY RANGE MAX</t>
  </si>
  <si>
    <t>Senior Assistant Legal Counsel FSD</t>
  </si>
  <si>
    <t>R11124</t>
  </si>
  <si>
    <t>JOB CLASS TITLE FY' 26</t>
  </si>
  <si>
    <t>FY26 SALARY RANGE MIN</t>
  </si>
  <si>
    <t>Internal Communications Specialist</t>
  </si>
  <si>
    <t>R11125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</si>
</sst>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[$$-409]* #,##0.00_);_([$$-409]* \(#,##0.00\);_([$$-409]* &quot;-&quot;??_);_(@_)"/>
  </numFmts>
  <fonts count="8" x14ac:knownFonts="1">
    <font>
      <sz val="11"/>
      <color theme="1"/>
      <name val="Calibri"/>
      <family val="2"/>
      <scheme val="minor"/>
    </font>
    <font>
      <b/>
      <sz val="12"/>
      <color rgb="FFFFFFFF"/>
      <name val="Arial"/>
      <family val="2"/>
    </font>
    <font>
      <b/>
      <sz val="12"/>
      <color theme="0"/>
      <name val="Arial"/>
      <family val="2"/>
    </font>
    <font>
      <sz val="12"/>
      <color rgb="FF000000"/>
      <name val="Arial"/>
      <family val="2"/>
    </font>
    <font>
      <sz val="12"/>
      <name val="Arial"/>
      <family val="2"/>
    </font>
    <font>
      <b/>
      <sz val="12"/>
      <color rgb="FF000000"/>
      <name val="Arial"/>
      <family val="2"/>
    </font>
    <font>
      <sz val="12"/>
      <color rgb="FF00B0F0"/>
      <name val="Arial"/>
      <family val="2"/>
    </font>
    <font>
      <sz val="12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1"/>
        <bgColor rgb="FF000000"/>
      </patternFill>
    </fill>
    <fill>
      <patternFill patternType="solid">
        <fgColor rgb="FF000000"/>
        <bgColor rgb="FF000000"/>
      </patternFill>
    </fill>
    <fill>
      <patternFill patternType="solid">
        <fgColor rgb="FFD9D9D9"/>
        <bgColor rgb="FFD9D9D9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3" fillId="0" borderId="4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164" fontId="3" fillId="0" borderId="4" xfId="0" applyNumberFormat="1" applyFont="1" applyBorder="1"/>
    <xf numFmtId="0" fontId="3" fillId="0" borderId="5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164" fontId="3" fillId="0" borderId="7" xfId="0" applyNumberFormat="1" applyFont="1" applyBorder="1"/>
    <xf numFmtId="0" fontId="3" fillId="0" borderId="8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3" fillId="4" borderId="11" xfId="0" applyFont="1" applyFill="1" applyBorder="1" applyAlignment="1">
      <alignment horizontal="left"/>
    </xf>
    <xf numFmtId="0" fontId="3" fillId="4" borderId="3" xfId="0" applyFont="1" applyFill="1" applyBorder="1" applyAlignment="1">
      <alignment horizontal="left"/>
    </xf>
    <xf numFmtId="0" fontId="3" fillId="4" borderId="4" xfId="0" applyFont="1" applyFill="1" applyBorder="1" applyAlignment="1">
      <alignment horizontal="left"/>
    </xf>
    <xf numFmtId="0" fontId="3" fillId="4" borderId="5" xfId="0" applyFont="1" applyFill="1" applyBorder="1" applyAlignment="1">
      <alignment horizontal="left"/>
    </xf>
    <xf numFmtId="0" fontId="3" fillId="0" borderId="10" xfId="0" applyFont="1" applyBorder="1" applyAlignment="1">
      <alignment horizontal="left"/>
    </xf>
    <xf numFmtId="0" fontId="1" fillId="3" borderId="8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9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left"/>
    </xf>
    <xf numFmtId="0" fontId="3" fillId="0" borderId="4" xfId="0" applyFont="1" applyFill="1" applyBorder="1" applyAlignment="1">
      <alignment horizontal="left"/>
    </xf>
    <xf numFmtId="164" fontId="3" fillId="0" borderId="4" xfId="0" applyNumberFormat="1" applyFont="1" applyFill="1" applyBorder="1"/>
    <xf numFmtId="0" fontId="3" fillId="0" borderId="5" xfId="0" applyFont="1" applyFill="1" applyBorder="1" applyAlignment="1">
      <alignment horizontal="left"/>
    </xf>
    <xf numFmtId="0" fontId="0" fillId="0" borderId="0" xfId="0" applyFill="1"/>
    <xf numFmtId="0" fontId="7" fillId="0" borderId="0" xfId="0" applyFont="1" applyFill="1" applyAlignment="1">
      <alignment wrapText="1"/>
    </xf>
    <xf numFmtId="0" fontId="7" fillId="0" borderId="0" xfId="0" applyFont="1" applyFill="1"/>
    <xf numFmtId="164" fontId="7" fillId="0" borderId="0" xfId="0" applyNumberFormat="1" applyFont="1" applyFill="1"/>
    <xf numFmtId="0" fontId="3" fillId="0" borderId="8" xfId="0" applyFont="1" applyFill="1" applyBorder="1" applyAlignment="1">
      <alignment horizontal="left"/>
    </xf>
  </cellXfs>
  <cellStyles count="1">
    <cellStyle name="Normal" xfId="0" builtinId="0"/>
  </cellStyles>
  <dxfs count="3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164" formatCode="_([$$-409]* #,##0.00_);_([$$-409]* \(#,##0.00\);_([$$-409]* &quot;-&quot;??_);_(@_)"/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164" formatCode="_([$$-409]* #,##0.00_);_([$$-409]* \(#,##0.00\);_([$$-409]* &quot;-&quot;??_);_(@_)"/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164" formatCode="_([$$-409]* #,##0.00_);_([$$-409]* \(#,##0.00\);_([$$-409]* &quot;-&quot;??_);_(@_)"/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164" formatCode="_([$$-409]* #,##0.00_);_([$$-409]* \(#,##0.00\);_([$$-409]* &quot;-&quot;??_);_(@_)"/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164" formatCode="_([$$-409]* #,##0.00_);_([$$-409]* \(#,##0.00\);_([$$-409]* &quot;-&quot;??_);_(@_)"/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164" formatCode="_([$$-409]* #,##0.00_);_([$$-409]* \(#,##0.00\);_([$$-409]* &quot;-&quot;??_);_(@_)"/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164" formatCode="_([$$-409]* #,##0.00_);_([$$-409]* \(#,##0.00\);_([$$-409]* &quot;-&quot;??_);_(@_)"/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164" formatCode="_([$$-409]* #,##0.00_);_([$$-409]* \(#,##0.00\);_([$$-409]* &quot;-&quot;??_);_(@_)"/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164" formatCode="_([$$-409]* #,##0.00_);_([$$-409]* \(#,##0.00\);_([$$-409]* &quot;-&quot;??_);_(@_)"/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164" formatCode="_([$$-409]* #,##0.00_);_([$$-409]* \(#,##0.00\);_([$$-409]* &quot;-&quot;??_);_(@_)"/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164" formatCode="_([$$-409]* #,##0.00_);_([$$-409]* \(#,##0.00\);_([$$-409]* &quot;-&quot;??_);_(@_)"/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164" formatCode="_([$$-409]* #,##0.00_);_([$$-409]* \(#,##0.00\);_([$$-409]* &quot;-&quot;??_);_(@_)"/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164" formatCode="_([$$-409]* #,##0.00_);_([$$-409]* \(#,##0.00\);_([$$-409]* &quot;-&quot;??_);_(@_)"/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164" formatCode="_([$$-409]* #,##0.00_);_([$$-409]* \(#,##0.00\);_([$$-409]* &quot;-&quot;??_);_(@_)"/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164" formatCode="_([$$-409]* #,##0.00_);_([$$-409]* \(#,##0.00\);_([$$-409]* &quot;-&quot;??_);_(@_)"/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164" formatCode="_([$$-409]* #,##0.00_);_([$$-409]* \(#,##0.00\);_([$$-409]* &quot;-&quot;??_);_(@_)"/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164" formatCode="_([$$-409]* #,##0.00_);_([$$-409]* \(#,##0.00\);_([$$-409]* &quot;-&quot;??_);_(@_)"/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164" formatCode="_([$$-409]* #,##0.00_);_([$$-409]* \(#,##0.00\);_([$$-409]* &quot;-&quot;??_);_(@_)"/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164" formatCode="_([$$-409]* #,##0.00_);_([$$-409]* \(#,##0.00\);_([$$-409]* &quot;-&quot;??_);_(@_)"/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164" formatCode="_([$$-409]* #,##0.00_);_([$$-409]* \(#,##0.00\);_([$$-409]* &quot;-&quot;??_);_(@_)"/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164" formatCode="_([$$-409]* #,##0.00_);_([$$-409]* \(#,##0.00\);_([$$-409]* &quot;-&quot;??_);_(@_)"/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164" formatCode="_([$$-409]* #,##0.00_);_([$$-409]* \(#,##0.00\);_([$$-409]* &quot;-&quot;??_);_(@_)"/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164" formatCode="_([$$-409]* #,##0.00_);_([$$-409]* \(#,##0.00\);_([$$-409]* &quot;-&quot;??_);_(@_)"/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164" formatCode="_([$$-409]* #,##0.00_);_([$$-409]* \(#,##0.00\);_([$$-409]* &quot;-&quot;??_);_(@_)"/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164" formatCode="_([$$-409]* #,##0.00_);_([$$-409]* \(#,##0.00\);_([$$-409]* &quot;-&quot;??_);_(@_)"/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164" formatCode="_([$$-409]* #,##0.00_);_([$$-409]* \(#,##0.00\);_([$$-409]* &quot;-&quot;??_);_(@_)"/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alignment horizontal="left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alignment horizontal="general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FFFFFF"/>
        <name val="Arial"/>
        <family val="2"/>
        <scheme val="none"/>
      </font>
      <fill>
        <patternFill patternType="solid">
          <fgColor rgb="FF000000"/>
          <bgColor theme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74A0746B-B17C-4BC9-A60E-E8E5EA24B0FC}" name="Table1" displayName="Table1" ref="A1:AC249" totalsRowShown="0" headerRowDxfId="33" dataDxfId="31" headerRowBorderDxfId="32" tableBorderDxfId="30" totalsRowBorderDxfId="29">
  <autoFilter ref="A1:AC249" xr:uid="{74A0746B-B17C-4BC9-A60E-E8E5EA24B0FC}"/>
  <sortState xmlns:xlrd2="http://schemas.microsoft.com/office/spreadsheetml/2017/richdata2" ref="A2:AC249">
    <sortCondition ref="A1:A249"/>
  </sortState>
  <tableColumns count="29">
    <tableColumn id="1" xr3:uid="{F578D837-488D-4C85-A8E9-845FB4E634B7}" name="JOB CLASS TITLE FY' 26" dataDxfId="28"/>
    <tableColumn id="2" xr3:uid="{3CB29FAC-E3C6-4D9F-8D9A-44E48E8FF681}" name="JOB CLASS NUMBER" dataDxfId="27"/>
    <tableColumn id="3" xr3:uid="{398CA06A-AC82-489F-85E6-B02AA5BA7E22}" name="FY26 SALARY RANGE MIN" dataDxfId="26"/>
    <tableColumn id="4" xr3:uid="{707F5392-BEB2-48ED-AB5A-4DD0778823D5}" name="*1 YEAR STEP" dataDxfId="25"/>
    <tableColumn id="5" xr3:uid="{D4040923-1917-4EC5-B870-77A7E5303EEC}" name="2 YEAR STEP" dataDxfId="24"/>
    <tableColumn id="6" xr3:uid="{2E34AE49-5F11-4C7B-ADE1-3920DF0FE688}" name="*3 YEAR STEP" dataDxfId="23"/>
    <tableColumn id="7" xr3:uid="{4D0E7F39-EFD1-4AC0-97A5-726539A6886E}" name="4 YEAR STEP" dataDxfId="22"/>
    <tableColumn id="8" xr3:uid="{C88D6107-28DD-4D32-8351-9D6329B7BEC0}" name="*5 YEAR STEP" dataDxfId="21"/>
    <tableColumn id="9" xr3:uid="{98734C51-D4D5-4955-B278-6130E127519F}" name="6 YEAR STEP" dataDxfId="20"/>
    <tableColumn id="10" xr3:uid="{064C4BEB-8ABA-4C2C-8FF4-21EFA1467FFA}" name="*7 YEAR STEP" dataDxfId="19"/>
    <tableColumn id="11" xr3:uid="{01A1C022-7F75-4596-A588-5F30A9FD72EB}" name="8 YEAR STEP" dataDxfId="18"/>
    <tableColumn id="12" xr3:uid="{48F0E659-8BB7-4C5C-8CB1-8F77A641C8F0}" name="9 YEAR STEP" dataDxfId="17"/>
    <tableColumn id="13" xr3:uid="{F9A239AF-19AE-47F2-9086-7347E6118605}" name="*10 YEAR STEP" dataDxfId="16"/>
    <tableColumn id="14" xr3:uid="{2BE48B8C-3FE4-42EE-BC80-DC3BF741FFEC}" name="11 YEAR STEP" dataDxfId="15"/>
    <tableColumn id="15" xr3:uid="{F3D26392-2A5C-404A-BFF9-033206202405}" name="*12 YEAR STEP" dataDxfId="14"/>
    <tableColumn id="16" xr3:uid="{377973AF-983C-4F60-BDCF-483F65D7ED13}" name="13 YEAR STEP" dataDxfId="13"/>
    <tableColumn id="17" xr3:uid="{0DFC9538-4420-419C-B5A4-9F583979C8EB}" name="14 YEAR STEP" dataDxfId="12"/>
    <tableColumn id="18" xr3:uid="{B2DA838F-238F-4C9E-8F3D-87A64296EE36}" name="*15 YEAR STEP" dataDxfId="11"/>
    <tableColumn id="19" xr3:uid="{ABD3A1C4-853D-4719-830E-AD5DAC40D3E9}" name="16 YEAR STEP" dataDxfId="10"/>
    <tableColumn id="20" xr3:uid="{D2F9EA90-26A5-42F2-8C0D-16F6CB668C6C}" name="*17 YEAR STEP" dataDxfId="9"/>
    <tableColumn id="21" xr3:uid="{5889DF67-07F2-4A56-A7C9-DA47F899C47C}" name="18 YEAR STEP" dataDxfId="8"/>
    <tableColumn id="22" xr3:uid="{8F0FF226-B701-4A96-981B-7665202DBF9B}" name="19 YEAR STEP" dataDxfId="7"/>
    <tableColumn id="23" xr3:uid="{ACD9CE93-2068-4012-9764-E7604737BB8C}" name="*20 YEAR STEP" dataDxfId="6"/>
    <tableColumn id="24" xr3:uid="{FEC07441-2A36-47F6-9199-DD305A5F9798}" name="21 YEAR STEP" dataDxfId="5"/>
    <tableColumn id="25" xr3:uid="{D4545855-0424-486D-BC77-8DB17062E8D0}" name="22 YEAR STEP" dataDxfId="4"/>
    <tableColumn id="26" xr3:uid="{3E439F80-F4F7-4801-965B-3BC3630856C1}" name="*23 YEAR STEP" dataDxfId="3"/>
    <tableColumn id="27" xr3:uid="{E76BFF3D-9486-4B0A-8A3E-0CF4794C5098}" name="24 YEAR STEP" dataDxfId="2"/>
    <tableColumn id="28" xr3:uid="{F2ADC299-A506-49B1-90A6-46D44D7719B8}" name="*YEAR 25 SALARY RANGE MAX" dataDxfId="1"/>
    <tableColumn id="29" xr3:uid="{54A1AD70-66B5-496B-91F3-10238684AB1F}" name="FORMER TITLES" dataDxfId="0"/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269"/>
  <sheetViews>
    <sheetView tabSelected="1" topLeftCell="A107" zoomScaleNormal="100" workbookViewId="0">
      <selection activeCell="A196" activeCellId="1" sqref="A198:XFD198 A196:XFD196"/>
    </sheetView>
  </sheetViews>
  <sheetFormatPr defaultRowHeight="15" customHeight="1" x14ac:dyDescent="0.35"/>
  <cols>
    <col min="1" max="1" width="60.08984375" customWidth="1"/>
    <col min="2" max="2" width="28.36328125" bestFit="1" customWidth="1"/>
    <col min="3" max="3" width="33.6328125" bestFit="1" customWidth="1"/>
    <col min="4" max="4" width="20.54296875" bestFit="1" customWidth="1"/>
    <col min="5" max="5" width="21.36328125" customWidth="1"/>
    <col min="6" max="6" width="20.54296875" bestFit="1" customWidth="1"/>
    <col min="7" max="7" width="19.7265625" bestFit="1" customWidth="1"/>
    <col min="8" max="8" width="20.54296875" bestFit="1" customWidth="1"/>
    <col min="9" max="9" width="19.7265625" bestFit="1" customWidth="1"/>
    <col min="10" max="10" width="20.54296875" bestFit="1" customWidth="1"/>
    <col min="11" max="11" width="19.7265625" customWidth="1"/>
    <col min="12" max="12" width="19.7265625" bestFit="1" customWidth="1"/>
    <col min="13" max="13" width="21.81640625" bestFit="1" customWidth="1"/>
    <col min="14" max="14" width="20.90625" bestFit="1" customWidth="1"/>
    <col min="15" max="15" width="21.81640625" bestFit="1" customWidth="1"/>
    <col min="16" max="17" width="20.90625" bestFit="1" customWidth="1"/>
    <col min="18" max="18" width="21.81640625" bestFit="1" customWidth="1"/>
    <col min="19" max="19" width="20.90625" bestFit="1" customWidth="1"/>
    <col min="20" max="20" width="21.81640625" bestFit="1" customWidth="1"/>
    <col min="21" max="22" width="20.90625" bestFit="1" customWidth="1"/>
    <col min="23" max="23" width="21.81640625" bestFit="1" customWidth="1"/>
    <col min="24" max="25" width="20.90625" bestFit="1" customWidth="1"/>
    <col min="26" max="26" width="21.81640625" bestFit="1" customWidth="1"/>
    <col min="27" max="27" width="20.90625" bestFit="1" customWidth="1"/>
    <col min="28" max="28" width="36.1796875" customWidth="1"/>
    <col min="29" max="29" width="44.90625" bestFit="1" customWidth="1"/>
  </cols>
  <sheetData>
    <row r="1" spans="1:29" s="22" customFormat="1" ht="15.5" x14ac:dyDescent="0.35">
      <c r="A1" s="18" t="s">
        <v>566</v>
      </c>
      <c r="B1" s="19" t="s">
        <v>0</v>
      </c>
      <c r="C1" s="19" t="s">
        <v>567</v>
      </c>
      <c r="D1" s="20" t="s">
        <v>553</v>
      </c>
      <c r="E1" s="19" t="s">
        <v>539</v>
      </c>
      <c r="F1" s="20" t="s">
        <v>554</v>
      </c>
      <c r="G1" s="19" t="s">
        <v>540</v>
      </c>
      <c r="H1" s="20" t="s">
        <v>555</v>
      </c>
      <c r="I1" s="19" t="s">
        <v>541</v>
      </c>
      <c r="J1" s="20" t="s">
        <v>556</v>
      </c>
      <c r="K1" s="19" t="s">
        <v>542</v>
      </c>
      <c r="L1" s="19" t="s">
        <v>543</v>
      </c>
      <c r="M1" s="20" t="s">
        <v>557</v>
      </c>
      <c r="N1" s="19" t="s">
        <v>544</v>
      </c>
      <c r="O1" s="20" t="s">
        <v>558</v>
      </c>
      <c r="P1" s="19" t="s">
        <v>545</v>
      </c>
      <c r="Q1" s="19" t="s">
        <v>546</v>
      </c>
      <c r="R1" s="20" t="s">
        <v>559</v>
      </c>
      <c r="S1" s="19" t="s">
        <v>547</v>
      </c>
      <c r="T1" s="20" t="s">
        <v>560</v>
      </c>
      <c r="U1" s="19" t="s">
        <v>548</v>
      </c>
      <c r="V1" s="19" t="s">
        <v>549</v>
      </c>
      <c r="W1" s="20" t="s">
        <v>561</v>
      </c>
      <c r="X1" s="19" t="s">
        <v>550</v>
      </c>
      <c r="Y1" s="19" t="s">
        <v>551</v>
      </c>
      <c r="Z1" s="20" t="s">
        <v>562</v>
      </c>
      <c r="AA1" s="19" t="s">
        <v>552</v>
      </c>
      <c r="AB1" s="19" t="s">
        <v>563</v>
      </c>
      <c r="AC1" s="21" t="s">
        <v>1</v>
      </c>
    </row>
    <row r="2" spans="1:29" ht="15.5" x14ac:dyDescent="0.35">
      <c r="A2" s="2" t="s">
        <v>2</v>
      </c>
      <c r="B2" s="1" t="s">
        <v>3</v>
      </c>
      <c r="C2" s="4">
        <f>98398/12</f>
        <v>8199.8333333333339</v>
      </c>
      <c r="D2" s="4">
        <f>101350/12</f>
        <v>8445.8333333333339</v>
      </c>
      <c r="E2" s="4">
        <f>101350/12</f>
        <v>8445.8333333333339</v>
      </c>
      <c r="F2" s="4">
        <f>104390/12</f>
        <v>8699.1666666666661</v>
      </c>
      <c r="G2" s="4">
        <f>104390/12</f>
        <v>8699.1666666666661</v>
      </c>
      <c r="H2" s="4">
        <f>107522/12</f>
        <v>8960.1666666666661</v>
      </c>
      <c r="I2" s="4">
        <f>107522/12</f>
        <v>8960.1666666666661</v>
      </c>
      <c r="J2" s="4">
        <f>110748/12</f>
        <v>9229</v>
      </c>
      <c r="K2" s="4">
        <f>110748/12</f>
        <v>9229</v>
      </c>
      <c r="L2" s="4">
        <f>110748/12</f>
        <v>9229</v>
      </c>
      <c r="M2" s="4">
        <f>120538/12</f>
        <v>10044.833333333334</v>
      </c>
      <c r="N2" s="4">
        <f>120538/12</f>
        <v>10044.833333333334</v>
      </c>
      <c r="O2" s="4">
        <f>124154/12</f>
        <v>10346.166666666666</v>
      </c>
      <c r="P2" s="4">
        <f>124154/12</f>
        <v>10346.166666666666</v>
      </c>
      <c r="Q2" s="4">
        <f>124154/12</f>
        <v>10346.166666666666</v>
      </c>
      <c r="R2" s="4">
        <f>127878/12</f>
        <v>10656.5</v>
      </c>
      <c r="S2" s="4">
        <f>127878/12</f>
        <v>10656.5</v>
      </c>
      <c r="T2" s="4">
        <f>131715/12</f>
        <v>10976.25</v>
      </c>
      <c r="U2" s="4">
        <f>131715/12</f>
        <v>10976.25</v>
      </c>
      <c r="V2" s="4">
        <f>131715/12</f>
        <v>10976.25</v>
      </c>
      <c r="W2" s="4">
        <f>135666/12</f>
        <v>11305.5</v>
      </c>
      <c r="X2" s="4">
        <f>135666/12</f>
        <v>11305.5</v>
      </c>
      <c r="Y2" s="4">
        <f>135666/12</f>
        <v>11305.5</v>
      </c>
      <c r="Z2" s="4">
        <f>139736/12</f>
        <v>11644.666666666666</v>
      </c>
      <c r="AA2" s="4">
        <f>139736/12</f>
        <v>11644.666666666666</v>
      </c>
      <c r="AB2" s="4">
        <f>142677/12</f>
        <v>11889.75</v>
      </c>
      <c r="AC2" s="5" t="s">
        <v>2</v>
      </c>
    </row>
    <row r="3" spans="1:29" ht="15.5" x14ac:dyDescent="0.35">
      <c r="A3" s="2" t="s">
        <v>4</v>
      </c>
      <c r="B3" s="1" t="s">
        <v>5</v>
      </c>
      <c r="C3" s="4">
        <f>47215/12</f>
        <v>3934.5833333333335</v>
      </c>
      <c r="D3" s="4">
        <f>48632/12</f>
        <v>4052.6666666666665</v>
      </c>
      <c r="E3" s="4">
        <f>48632/12</f>
        <v>4052.6666666666665</v>
      </c>
      <c r="F3" s="4">
        <f>50091/12</f>
        <v>4174.25</v>
      </c>
      <c r="G3" s="4">
        <f>50091/12</f>
        <v>4174.25</v>
      </c>
      <c r="H3" s="4">
        <f>51593/12</f>
        <v>4299.416666666667</v>
      </c>
      <c r="I3" s="4">
        <f>51593/12</f>
        <v>4299.416666666667</v>
      </c>
      <c r="J3" s="4">
        <f>53141/12</f>
        <v>4428.416666666667</v>
      </c>
      <c r="K3" s="4">
        <f>53141/12</f>
        <v>4428.416666666667</v>
      </c>
      <c r="L3" s="4">
        <f>53141/12</f>
        <v>4428.416666666667</v>
      </c>
      <c r="M3" s="4">
        <f>57839/12</f>
        <v>4819.916666666667</v>
      </c>
      <c r="N3" s="4">
        <f>57839/12</f>
        <v>4819.916666666667</v>
      </c>
      <c r="O3" s="4">
        <f>59574/12</f>
        <v>4964.5</v>
      </c>
      <c r="P3" s="4">
        <f>59574/12</f>
        <v>4964.5</v>
      </c>
      <c r="Q3" s="4">
        <f>59574/12</f>
        <v>4964.5</v>
      </c>
      <c r="R3" s="4">
        <f>61361/12</f>
        <v>5113.416666666667</v>
      </c>
      <c r="S3" s="4">
        <f>61361/12</f>
        <v>5113.416666666667</v>
      </c>
      <c r="T3" s="4">
        <f>63202/12</f>
        <v>5266.833333333333</v>
      </c>
      <c r="U3" s="4">
        <f>63202/12</f>
        <v>5266.833333333333</v>
      </c>
      <c r="V3" s="4">
        <f>63202/12</f>
        <v>5266.833333333333</v>
      </c>
      <c r="W3" s="4">
        <f>65098/12</f>
        <v>5424.833333333333</v>
      </c>
      <c r="X3" s="4">
        <f>65098/12</f>
        <v>5424.833333333333</v>
      </c>
      <c r="Y3" s="4">
        <f>65098/12</f>
        <v>5424.833333333333</v>
      </c>
      <c r="Z3" s="4">
        <f>67051/12</f>
        <v>5587.583333333333</v>
      </c>
      <c r="AA3" s="4">
        <f>67051/12</f>
        <v>5587.583333333333</v>
      </c>
      <c r="AB3" s="4">
        <f>68462/12</f>
        <v>5705.166666666667</v>
      </c>
      <c r="AC3" s="5" t="s">
        <v>6</v>
      </c>
    </row>
    <row r="4" spans="1:29" ht="15.5" x14ac:dyDescent="0.35">
      <c r="A4" s="2" t="s">
        <v>7</v>
      </c>
      <c r="B4" s="1" t="s">
        <v>8</v>
      </c>
      <c r="C4" s="4">
        <f>53173/12</f>
        <v>4431.083333333333</v>
      </c>
      <c r="D4" s="4">
        <f>54768/12</f>
        <v>4564</v>
      </c>
      <c r="E4" s="4">
        <f>54768/12</f>
        <v>4564</v>
      </c>
      <c r="F4" s="4">
        <f>56411/12</f>
        <v>4700.916666666667</v>
      </c>
      <c r="G4" s="4">
        <f>56411/12</f>
        <v>4700.916666666667</v>
      </c>
      <c r="H4" s="4">
        <f>58103/12</f>
        <v>4841.916666666667</v>
      </c>
      <c r="I4" s="4">
        <f>58103/12</f>
        <v>4841.916666666667</v>
      </c>
      <c r="J4" s="4">
        <f>59846/12</f>
        <v>4987.166666666667</v>
      </c>
      <c r="K4" s="4">
        <f>59846/12</f>
        <v>4987.166666666667</v>
      </c>
      <c r="L4" s="4">
        <f>59846/12</f>
        <v>4987.166666666667</v>
      </c>
      <c r="M4" s="4">
        <f>65137/12</f>
        <v>5428.083333333333</v>
      </c>
      <c r="N4" s="4">
        <f>65137/12</f>
        <v>5428.083333333333</v>
      </c>
      <c r="O4" s="4">
        <f>67091/12</f>
        <v>5590.916666666667</v>
      </c>
      <c r="P4" s="4">
        <f>67091/12</f>
        <v>5590.916666666667</v>
      </c>
      <c r="Q4" s="4">
        <f>67091/12</f>
        <v>5590.916666666667</v>
      </c>
      <c r="R4" s="4">
        <f>69103/12</f>
        <v>5758.583333333333</v>
      </c>
      <c r="S4" s="4">
        <f>69103/12</f>
        <v>5758.583333333333</v>
      </c>
      <c r="T4" s="4">
        <f>71177/12</f>
        <v>5931.416666666667</v>
      </c>
      <c r="U4" s="4">
        <f>71177/12</f>
        <v>5931.416666666667</v>
      </c>
      <c r="V4" s="4">
        <f>71177/12</f>
        <v>5931.416666666667</v>
      </c>
      <c r="W4" s="4">
        <f>73312/12</f>
        <v>6109.333333333333</v>
      </c>
      <c r="X4" s="4">
        <f>73312/12</f>
        <v>6109.333333333333</v>
      </c>
      <c r="Y4" s="4">
        <f>73312/12</f>
        <v>6109.333333333333</v>
      </c>
      <c r="Z4" s="4">
        <f>75511/12</f>
        <v>6292.583333333333</v>
      </c>
      <c r="AA4" s="4">
        <f>75511/12</f>
        <v>6292.583333333333</v>
      </c>
      <c r="AB4" s="4">
        <f>77100/12</f>
        <v>6425</v>
      </c>
      <c r="AC4" s="5" t="s">
        <v>7</v>
      </c>
    </row>
    <row r="5" spans="1:29" ht="15.5" x14ac:dyDescent="0.35">
      <c r="A5" s="2" t="s">
        <v>9</v>
      </c>
      <c r="B5" s="1" t="s">
        <v>10</v>
      </c>
      <c r="C5" s="4">
        <f>71713/12</f>
        <v>5976.083333333333</v>
      </c>
      <c r="D5" s="4">
        <f>73864/12</f>
        <v>6155.333333333333</v>
      </c>
      <c r="E5" s="4">
        <f>73864/12</f>
        <v>6155.333333333333</v>
      </c>
      <c r="F5" s="4">
        <f>76080/12</f>
        <v>6340</v>
      </c>
      <c r="G5" s="4">
        <f>76080/12</f>
        <v>6340</v>
      </c>
      <c r="H5" s="4">
        <f>78362/12</f>
        <v>6530.166666666667</v>
      </c>
      <c r="I5" s="4">
        <f>78362/12</f>
        <v>6530.166666666667</v>
      </c>
      <c r="J5" s="4">
        <f>80713/12</f>
        <v>6726.083333333333</v>
      </c>
      <c r="K5" s="4">
        <f>80713/12</f>
        <v>6726.083333333333</v>
      </c>
      <c r="L5" s="4">
        <f>80713/12</f>
        <v>6726.083333333333</v>
      </c>
      <c r="M5" s="4">
        <f>87848/12</f>
        <v>7320.666666666667</v>
      </c>
      <c r="N5" s="4">
        <f>87848/12</f>
        <v>7320.666666666667</v>
      </c>
      <c r="O5" s="4">
        <f>90484/12</f>
        <v>7540.333333333333</v>
      </c>
      <c r="P5" s="4">
        <f>90484/12</f>
        <v>7540.333333333333</v>
      </c>
      <c r="Q5" s="4">
        <f>90484/12</f>
        <v>7540.333333333333</v>
      </c>
      <c r="R5" s="4">
        <f>93198/12</f>
        <v>7766.5</v>
      </c>
      <c r="S5" s="4">
        <f>93198/12</f>
        <v>7766.5</v>
      </c>
      <c r="T5" s="4">
        <f>95994/12</f>
        <v>7999.5</v>
      </c>
      <c r="U5" s="4">
        <f>95994/12</f>
        <v>7999.5</v>
      </c>
      <c r="V5" s="4">
        <f>95994/12</f>
        <v>7999.5</v>
      </c>
      <c r="W5" s="4">
        <f>98874/12</f>
        <v>8239.5</v>
      </c>
      <c r="X5" s="4">
        <f>98874/12</f>
        <v>8239.5</v>
      </c>
      <c r="Y5" s="4">
        <f>98874/12</f>
        <v>8239.5</v>
      </c>
      <c r="Z5" s="4">
        <f>101840/12</f>
        <v>8486.6666666666661</v>
      </c>
      <c r="AA5" s="4">
        <f>101840/12</f>
        <v>8486.6666666666661</v>
      </c>
      <c r="AB5" s="4">
        <f>103983/12</f>
        <v>8665.25</v>
      </c>
      <c r="AC5" s="5" t="s">
        <v>9</v>
      </c>
    </row>
    <row r="6" spans="1:29" ht="15.5" x14ac:dyDescent="0.35">
      <c r="A6" s="2" t="s">
        <v>11</v>
      </c>
      <c r="B6" s="1" t="s">
        <v>12</v>
      </c>
      <c r="C6" s="4">
        <f>81749/12</f>
        <v>6812.416666666667</v>
      </c>
      <c r="D6" s="4">
        <f>84202/12</f>
        <v>7016.833333333333</v>
      </c>
      <c r="E6" s="4">
        <f>84202/12</f>
        <v>7016.833333333333</v>
      </c>
      <c r="F6" s="4">
        <f>86728/12</f>
        <v>7227.333333333333</v>
      </c>
      <c r="G6" s="4">
        <f>86728/12</f>
        <v>7227.333333333333</v>
      </c>
      <c r="H6" s="4">
        <f>89329/12</f>
        <v>7444.083333333333</v>
      </c>
      <c r="I6" s="4">
        <f>89329/12</f>
        <v>7444.083333333333</v>
      </c>
      <c r="J6" s="4">
        <f>92009/12</f>
        <v>7667.416666666667</v>
      </c>
      <c r="K6" s="4">
        <f>92009/12</f>
        <v>7667.416666666667</v>
      </c>
      <c r="L6" s="4">
        <f>92009/12</f>
        <v>7667.416666666667</v>
      </c>
      <c r="M6" s="4">
        <f>100173/12</f>
        <v>8347.75</v>
      </c>
      <c r="N6" s="4">
        <f>100173/12</f>
        <v>8347.75</v>
      </c>
      <c r="O6" s="4">
        <f>103178/12</f>
        <v>8598.1666666666661</v>
      </c>
      <c r="P6" s="4">
        <f>103178/12</f>
        <v>8598.1666666666661</v>
      </c>
      <c r="Q6" s="4">
        <f>103178/12</f>
        <v>8598.1666666666661</v>
      </c>
      <c r="R6" s="4">
        <f>106273/12</f>
        <v>8856.0833333333339</v>
      </c>
      <c r="S6" s="4">
        <f>106273/12</f>
        <v>8856.0833333333339</v>
      </c>
      <c r="T6" s="4">
        <f>109461/12</f>
        <v>9121.75</v>
      </c>
      <c r="U6" s="4">
        <f>109461/12</f>
        <v>9121.75</v>
      </c>
      <c r="V6" s="4">
        <f>109461/12</f>
        <v>9121.75</v>
      </c>
      <c r="W6" s="4">
        <f>112745/12</f>
        <v>9395.4166666666661</v>
      </c>
      <c r="X6" s="4">
        <f>112745/12</f>
        <v>9395.4166666666661</v>
      </c>
      <c r="Y6" s="4">
        <f>112745/12</f>
        <v>9395.4166666666661</v>
      </c>
      <c r="Z6" s="4">
        <f>116127/12</f>
        <v>9677.25</v>
      </c>
      <c r="AA6" s="4">
        <f>116127/12</f>
        <v>9677.25</v>
      </c>
      <c r="AB6" s="4">
        <f>118596/12</f>
        <v>9883</v>
      </c>
      <c r="AC6" s="5" t="s">
        <v>11</v>
      </c>
    </row>
    <row r="7" spans="1:29" ht="15.5" x14ac:dyDescent="0.35">
      <c r="A7" s="2" t="s">
        <v>13</v>
      </c>
      <c r="B7" s="1" t="s">
        <v>14</v>
      </c>
      <c r="C7" s="4">
        <f>91800/12</f>
        <v>7650</v>
      </c>
      <c r="D7" s="4">
        <f>94554/12</f>
        <v>7879.5</v>
      </c>
      <c r="E7" s="4">
        <f>94554/12</f>
        <v>7879.5</v>
      </c>
      <c r="F7" s="4">
        <f>97391/12</f>
        <v>8115.916666666667</v>
      </c>
      <c r="G7" s="4">
        <f>97391/12</f>
        <v>8115.916666666667</v>
      </c>
      <c r="H7" s="4">
        <f>100312/12</f>
        <v>8359.3333333333339</v>
      </c>
      <c r="I7" s="4">
        <f>100312/12</f>
        <v>8359.3333333333339</v>
      </c>
      <c r="J7" s="4">
        <f>103322/12</f>
        <v>8610.1666666666661</v>
      </c>
      <c r="K7" s="4">
        <f>103322/12</f>
        <v>8610.1666666666661</v>
      </c>
      <c r="L7" s="4">
        <f>103322/12</f>
        <v>8610.1666666666661</v>
      </c>
      <c r="M7" s="4">
        <f>112455/12</f>
        <v>9371.25</v>
      </c>
      <c r="N7" s="4">
        <f>112455/12</f>
        <v>9371.25</v>
      </c>
      <c r="O7" s="4">
        <f>115829/12</f>
        <v>9652.4166666666661</v>
      </c>
      <c r="P7" s="4">
        <f>115829/12</f>
        <v>9652.4166666666661</v>
      </c>
      <c r="Q7" s="4">
        <f>115829/12</f>
        <v>9652.4166666666661</v>
      </c>
      <c r="R7" s="4">
        <f>119304/12</f>
        <v>9942</v>
      </c>
      <c r="S7" s="4">
        <f>119304/12</f>
        <v>9942</v>
      </c>
      <c r="T7" s="4">
        <f>122883/12</f>
        <v>10240.25</v>
      </c>
      <c r="U7" s="4">
        <f>122883/12</f>
        <v>10240.25</v>
      </c>
      <c r="V7" s="4">
        <f>122883/12</f>
        <v>10240.25</v>
      </c>
      <c r="W7" s="4">
        <f>126569/12</f>
        <v>10547.416666666666</v>
      </c>
      <c r="X7" s="4">
        <f>126569/12</f>
        <v>10547.416666666666</v>
      </c>
      <c r="Y7" s="4">
        <f>126569/12</f>
        <v>10547.416666666666</v>
      </c>
      <c r="Z7" s="4">
        <f>130366/12</f>
        <v>10863.833333333334</v>
      </c>
      <c r="AA7" s="4">
        <f>130366/12</f>
        <v>10863.833333333334</v>
      </c>
      <c r="AB7" s="4">
        <f>133110/12</f>
        <v>11092.5</v>
      </c>
      <c r="AC7" s="5" t="s">
        <v>13</v>
      </c>
    </row>
    <row r="8" spans="1:29" ht="15.5" x14ac:dyDescent="0.35">
      <c r="A8" s="2" t="s">
        <v>15</v>
      </c>
      <c r="B8" s="1" t="s">
        <v>16</v>
      </c>
      <c r="C8" s="4">
        <f>64062/12</f>
        <v>5338.5</v>
      </c>
      <c r="D8" s="4">
        <f>65984/12</f>
        <v>5498.666666666667</v>
      </c>
      <c r="E8" s="4">
        <f>65984/12</f>
        <v>5498.666666666667</v>
      </c>
      <c r="F8" s="4">
        <f>67963/12</f>
        <v>5663.583333333333</v>
      </c>
      <c r="G8" s="4">
        <f>67963/12</f>
        <v>5663.583333333333</v>
      </c>
      <c r="H8" s="4">
        <f>70002/12</f>
        <v>5833.5</v>
      </c>
      <c r="I8" s="4">
        <f>70002/12</f>
        <v>5833.5</v>
      </c>
      <c r="J8" s="4">
        <f>72102/12</f>
        <v>6008.5</v>
      </c>
      <c r="K8" s="4">
        <f>72102/12</f>
        <v>6008.5</v>
      </c>
      <c r="L8" s="4">
        <f>72102/12</f>
        <v>6008.5</v>
      </c>
      <c r="M8" s="4">
        <f>78476/12</f>
        <v>6539.666666666667</v>
      </c>
      <c r="N8" s="4">
        <f>78476/12</f>
        <v>6539.666666666667</v>
      </c>
      <c r="O8" s="4">
        <f>80830/12</f>
        <v>6735.833333333333</v>
      </c>
      <c r="P8" s="4">
        <f>80830/12</f>
        <v>6735.833333333333</v>
      </c>
      <c r="Q8" s="4">
        <f>80830/12</f>
        <v>6735.833333333333</v>
      </c>
      <c r="R8" s="4">
        <f>83255/12</f>
        <v>6937.916666666667</v>
      </c>
      <c r="S8" s="4">
        <f>83255/12</f>
        <v>6937.916666666667</v>
      </c>
      <c r="T8" s="4">
        <f>85753/12</f>
        <v>7146.083333333333</v>
      </c>
      <c r="U8" s="4">
        <f>85753/12</f>
        <v>7146.083333333333</v>
      </c>
      <c r="V8" s="4">
        <f>85753/12</f>
        <v>7146.083333333333</v>
      </c>
      <c r="W8" s="4">
        <f>88325/12</f>
        <v>7360.416666666667</v>
      </c>
      <c r="X8" s="4">
        <f>88325/12</f>
        <v>7360.416666666667</v>
      </c>
      <c r="Y8" s="4">
        <f>88325/12</f>
        <v>7360.416666666667</v>
      </c>
      <c r="Z8" s="4">
        <f>90975/12</f>
        <v>7581.25</v>
      </c>
      <c r="AA8" s="4">
        <f>90975/12</f>
        <v>7581.25</v>
      </c>
      <c r="AB8" s="4">
        <f>92890/12</f>
        <v>7740.833333333333</v>
      </c>
      <c r="AC8" s="5" t="s">
        <v>17</v>
      </c>
    </row>
    <row r="9" spans="1:29" ht="15.5" x14ac:dyDescent="0.35">
      <c r="A9" s="2" t="s">
        <v>18</v>
      </c>
      <c r="B9" s="1" t="s">
        <v>19</v>
      </c>
      <c r="C9" s="4">
        <f>69453/12</f>
        <v>5787.75</v>
      </c>
      <c r="D9" s="4">
        <f>71536/12</f>
        <v>5961.333333333333</v>
      </c>
      <c r="E9" s="4">
        <f>71536/12</f>
        <v>5961.333333333333</v>
      </c>
      <c r="F9" s="4">
        <f>73682/12</f>
        <v>6140.166666666667</v>
      </c>
      <c r="G9" s="4">
        <f>73682/12</f>
        <v>6140.166666666667</v>
      </c>
      <c r="H9" s="4">
        <f>75893/12</f>
        <v>6324.416666666667</v>
      </c>
      <c r="I9" s="4">
        <f>75893/12</f>
        <v>6324.416666666667</v>
      </c>
      <c r="J9" s="4">
        <f>78170/12</f>
        <v>6514.166666666667</v>
      </c>
      <c r="K9" s="4">
        <f>78170/12</f>
        <v>6514.166666666667</v>
      </c>
      <c r="L9" s="4">
        <f>78170/12</f>
        <v>6514.166666666667</v>
      </c>
      <c r="M9" s="4">
        <f>86662/12</f>
        <v>7221.833333333333</v>
      </c>
      <c r="N9" s="4">
        <f>86662/12</f>
        <v>7221.833333333333</v>
      </c>
      <c r="O9" s="4">
        <f>89262/12</f>
        <v>7438.5</v>
      </c>
      <c r="P9" s="4">
        <f>89262/12</f>
        <v>7438.5</v>
      </c>
      <c r="Q9" s="4">
        <f>89262/12</f>
        <v>7438.5</v>
      </c>
      <c r="R9" s="4">
        <f>91940/12</f>
        <v>7661.666666666667</v>
      </c>
      <c r="S9" s="4">
        <f>91940/12</f>
        <v>7661.666666666667</v>
      </c>
      <c r="T9" s="4">
        <f>94698/12</f>
        <v>7891.5</v>
      </c>
      <c r="U9" s="4">
        <f>94698/12</f>
        <v>7891.5</v>
      </c>
      <c r="V9" s="4">
        <f>94698/12</f>
        <v>7891.5</v>
      </c>
      <c r="W9" s="4">
        <f>97539/12</f>
        <v>8128.25</v>
      </c>
      <c r="X9" s="4">
        <f>97539/12</f>
        <v>8128.25</v>
      </c>
      <c r="Y9" s="4">
        <f>97539/12</f>
        <v>8128.25</v>
      </c>
      <c r="Z9" s="4">
        <f>100465/12</f>
        <v>8372.0833333333339</v>
      </c>
      <c r="AA9" s="4">
        <f>100465/12</f>
        <v>8372.0833333333339</v>
      </c>
      <c r="AB9" s="4">
        <f>103872/12</f>
        <v>8656</v>
      </c>
      <c r="AC9" s="5" t="s">
        <v>18</v>
      </c>
    </row>
    <row r="10" spans="1:29" ht="15.5" x14ac:dyDescent="0.35">
      <c r="A10" s="2" t="s">
        <v>20</v>
      </c>
      <c r="B10" s="1" t="s">
        <v>21</v>
      </c>
      <c r="C10" s="4">
        <f>47215/12</f>
        <v>3934.5833333333335</v>
      </c>
      <c r="D10" s="4">
        <f>48632/12</f>
        <v>4052.6666666666665</v>
      </c>
      <c r="E10" s="4">
        <f>48632/12</f>
        <v>4052.6666666666665</v>
      </c>
      <c r="F10" s="4">
        <f>50091/12</f>
        <v>4174.25</v>
      </c>
      <c r="G10" s="4">
        <f>50091/12</f>
        <v>4174.25</v>
      </c>
      <c r="H10" s="4">
        <f>51593/12</f>
        <v>4299.416666666667</v>
      </c>
      <c r="I10" s="4">
        <f>51593/12</f>
        <v>4299.416666666667</v>
      </c>
      <c r="J10" s="4">
        <f>53141/12</f>
        <v>4428.416666666667</v>
      </c>
      <c r="K10" s="4">
        <f>53141/12</f>
        <v>4428.416666666667</v>
      </c>
      <c r="L10" s="4">
        <f>53141/12</f>
        <v>4428.416666666667</v>
      </c>
      <c r="M10" s="4">
        <f>57839/12</f>
        <v>4819.916666666667</v>
      </c>
      <c r="N10" s="4">
        <f>57839/12</f>
        <v>4819.916666666667</v>
      </c>
      <c r="O10" s="4">
        <f>59574/12</f>
        <v>4964.5</v>
      </c>
      <c r="P10" s="4">
        <f>59574/12</f>
        <v>4964.5</v>
      </c>
      <c r="Q10" s="4">
        <f>59574/12</f>
        <v>4964.5</v>
      </c>
      <c r="R10" s="4">
        <f>61361/12</f>
        <v>5113.416666666667</v>
      </c>
      <c r="S10" s="4">
        <f>61361/12</f>
        <v>5113.416666666667</v>
      </c>
      <c r="T10" s="4">
        <f>63202/12</f>
        <v>5266.833333333333</v>
      </c>
      <c r="U10" s="4">
        <f>63202/12</f>
        <v>5266.833333333333</v>
      </c>
      <c r="V10" s="4">
        <f>63202/12</f>
        <v>5266.833333333333</v>
      </c>
      <c r="W10" s="4">
        <f>65098/12</f>
        <v>5424.833333333333</v>
      </c>
      <c r="X10" s="4">
        <f>65098/12</f>
        <v>5424.833333333333</v>
      </c>
      <c r="Y10" s="4">
        <f>65098/12</f>
        <v>5424.833333333333</v>
      </c>
      <c r="Z10" s="4">
        <f>67051/12</f>
        <v>5587.583333333333</v>
      </c>
      <c r="AA10" s="4">
        <f>67051/12</f>
        <v>5587.583333333333</v>
      </c>
      <c r="AB10" s="4">
        <f>68462/12</f>
        <v>5705.166666666667</v>
      </c>
      <c r="AC10" s="5" t="s">
        <v>22</v>
      </c>
    </row>
    <row r="11" spans="1:29" ht="15.5" x14ac:dyDescent="0.35">
      <c r="A11" s="2" t="s">
        <v>23</v>
      </c>
      <c r="B11" s="1" t="s">
        <v>24</v>
      </c>
      <c r="C11" s="4">
        <f>51739/12</f>
        <v>4311.583333333333</v>
      </c>
      <c r="D11" s="4">
        <f>53291/12</f>
        <v>4440.916666666667</v>
      </c>
      <c r="E11" s="4">
        <f>53291/12</f>
        <v>4440.916666666667</v>
      </c>
      <c r="F11" s="4">
        <f>54890/12</f>
        <v>4574.166666666667</v>
      </c>
      <c r="G11" s="4">
        <f>54890/12</f>
        <v>4574.166666666667</v>
      </c>
      <c r="H11" s="4">
        <f>56537/12</f>
        <v>4711.416666666667</v>
      </c>
      <c r="I11" s="4">
        <f>56537/12</f>
        <v>4711.416666666667</v>
      </c>
      <c r="J11" s="4">
        <f>58233/12</f>
        <v>4852.75</v>
      </c>
      <c r="K11" s="4">
        <f>58233/12</f>
        <v>4852.75</v>
      </c>
      <c r="L11" s="4">
        <f>58233/12</f>
        <v>4852.75</v>
      </c>
      <c r="M11" s="4">
        <f>63380/12</f>
        <v>5281.666666666667</v>
      </c>
      <c r="N11" s="4">
        <f>63380/12</f>
        <v>5281.666666666667</v>
      </c>
      <c r="O11" s="4">
        <f>65282/12</f>
        <v>5440.166666666667</v>
      </c>
      <c r="P11" s="4">
        <f>65282/12</f>
        <v>5440.166666666667</v>
      </c>
      <c r="Q11" s="4">
        <f>65282/12</f>
        <v>5440.166666666667</v>
      </c>
      <c r="R11" s="4">
        <f>67240/12</f>
        <v>5603.333333333333</v>
      </c>
      <c r="S11" s="4">
        <f>67240/12</f>
        <v>5603.333333333333</v>
      </c>
      <c r="T11" s="4">
        <f>69257/12</f>
        <v>5771.416666666667</v>
      </c>
      <c r="U11" s="4">
        <f>69257/12</f>
        <v>5771.416666666667</v>
      </c>
      <c r="V11" s="4">
        <f>69257/12</f>
        <v>5771.416666666667</v>
      </c>
      <c r="W11" s="4">
        <f>71335/12</f>
        <v>5944.583333333333</v>
      </c>
      <c r="X11" s="4">
        <f>71335/12</f>
        <v>5944.583333333333</v>
      </c>
      <c r="Y11" s="4">
        <f>71335/12</f>
        <v>5944.583333333333</v>
      </c>
      <c r="Z11" s="4">
        <f>73475/12</f>
        <v>6122.916666666667</v>
      </c>
      <c r="AA11" s="4">
        <f>73475/12</f>
        <v>6122.916666666667</v>
      </c>
      <c r="AB11" s="4">
        <f>75021/12</f>
        <v>6251.75</v>
      </c>
      <c r="AC11" s="5" t="s">
        <v>25</v>
      </c>
    </row>
    <row r="12" spans="1:29" ht="15.5" x14ac:dyDescent="0.35">
      <c r="A12" s="2" t="s">
        <v>26</v>
      </c>
      <c r="B12" s="1" t="s">
        <v>27</v>
      </c>
      <c r="C12" s="4">
        <f>62649/12</f>
        <v>5220.75</v>
      </c>
      <c r="D12" s="4">
        <f>64528/12</f>
        <v>5377.333333333333</v>
      </c>
      <c r="E12" s="4">
        <f>64528/12</f>
        <v>5377.333333333333</v>
      </c>
      <c r="F12" s="4">
        <f>66464/12</f>
        <v>5538.666666666667</v>
      </c>
      <c r="G12" s="4">
        <f>66464/12</f>
        <v>5538.666666666667</v>
      </c>
      <c r="H12" s="4">
        <f>68458/12</f>
        <v>5704.833333333333</v>
      </c>
      <c r="I12" s="4">
        <f>68458/12</f>
        <v>5704.833333333333</v>
      </c>
      <c r="J12" s="4">
        <f>70512/12</f>
        <v>5876</v>
      </c>
      <c r="K12" s="4">
        <f>70512/12</f>
        <v>5876</v>
      </c>
      <c r="L12" s="4">
        <f>70512/12</f>
        <v>5876</v>
      </c>
      <c r="M12" s="4">
        <f>76745/12</f>
        <v>6395.416666666667</v>
      </c>
      <c r="N12" s="4">
        <f>76745/12</f>
        <v>6395.416666666667</v>
      </c>
      <c r="O12" s="4">
        <f>79047/12</f>
        <v>6587.25</v>
      </c>
      <c r="P12" s="4">
        <f>79047/12</f>
        <v>6587.25</v>
      </c>
      <c r="Q12" s="4">
        <f>79047/12</f>
        <v>6587.25</v>
      </c>
      <c r="R12" s="4">
        <f>81418/12</f>
        <v>6784.833333333333</v>
      </c>
      <c r="S12" s="4">
        <f>81418/12</f>
        <v>6784.833333333333</v>
      </c>
      <c r="T12" s="4">
        <f>83861/12</f>
        <v>6988.416666666667</v>
      </c>
      <c r="U12" s="4">
        <f>83861/12</f>
        <v>6988.416666666667</v>
      </c>
      <c r="V12" s="4">
        <f>83861/12</f>
        <v>6988.416666666667</v>
      </c>
      <c r="W12" s="4">
        <f>86377/12</f>
        <v>7198.083333333333</v>
      </c>
      <c r="X12" s="4">
        <f>86377/12</f>
        <v>7198.083333333333</v>
      </c>
      <c r="Y12" s="4">
        <f>86377/12</f>
        <v>7198.083333333333</v>
      </c>
      <c r="Z12" s="4">
        <f>88968/12</f>
        <v>7414</v>
      </c>
      <c r="AA12" s="4">
        <f>88968/12</f>
        <v>7414</v>
      </c>
      <c r="AB12" s="4">
        <f>90841/12</f>
        <v>7570.083333333333</v>
      </c>
      <c r="AC12" s="5" t="s">
        <v>26</v>
      </c>
    </row>
    <row r="13" spans="1:29" ht="15.5" x14ac:dyDescent="0.35">
      <c r="A13" s="2" t="s">
        <v>28</v>
      </c>
      <c r="B13" s="1" t="s">
        <v>29</v>
      </c>
      <c r="C13" s="4">
        <f>103317/12</f>
        <v>8609.75</v>
      </c>
      <c r="D13" s="4">
        <f>106417/12</f>
        <v>8868.0833333333339</v>
      </c>
      <c r="E13" s="4">
        <f>106417/12</f>
        <v>8868.0833333333339</v>
      </c>
      <c r="F13" s="4">
        <f>109609/12</f>
        <v>9134.0833333333339</v>
      </c>
      <c r="G13" s="4">
        <f>109609/12</f>
        <v>9134.0833333333339</v>
      </c>
      <c r="H13" s="4">
        <f>112898/12</f>
        <v>9408.1666666666661</v>
      </c>
      <c r="I13" s="4">
        <f>112898/12</f>
        <v>9408.1666666666661</v>
      </c>
      <c r="J13" s="4">
        <f>116284/12</f>
        <v>9690.3333333333339</v>
      </c>
      <c r="K13" s="4">
        <f>116284/12</f>
        <v>9690.3333333333339</v>
      </c>
      <c r="L13" s="4">
        <f>116284/12</f>
        <v>9690.3333333333339</v>
      </c>
      <c r="M13" s="4">
        <f>126564/12</f>
        <v>10547</v>
      </c>
      <c r="N13" s="4">
        <f>126564/12</f>
        <v>10547</v>
      </c>
      <c r="O13" s="4">
        <f>130361/12</f>
        <v>10863.416666666666</v>
      </c>
      <c r="P13" s="4">
        <f>130361/12</f>
        <v>10863.416666666666</v>
      </c>
      <c r="Q13" s="4">
        <f>130361/12</f>
        <v>10863.416666666666</v>
      </c>
      <c r="R13" s="4">
        <f>134271/12</f>
        <v>11189.25</v>
      </c>
      <c r="S13" s="4">
        <f>134271/12</f>
        <v>11189.25</v>
      </c>
      <c r="T13" s="4">
        <f>138299/12</f>
        <v>11524.916666666666</v>
      </c>
      <c r="U13" s="4">
        <f>138299/12</f>
        <v>11524.916666666666</v>
      </c>
      <c r="V13" s="4">
        <f>138299/12</f>
        <v>11524.916666666666</v>
      </c>
      <c r="W13" s="4">
        <f>142448/12</f>
        <v>11870.666666666666</v>
      </c>
      <c r="X13" s="4">
        <f>142448/12</f>
        <v>11870.666666666666</v>
      </c>
      <c r="Y13" s="4">
        <f>142448/12</f>
        <v>11870.666666666666</v>
      </c>
      <c r="Z13" s="4">
        <f>146722/12</f>
        <v>12226.833333333334</v>
      </c>
      <c r="AA13" s="4">
        <f>146722/12</f>
        <v>12226.833333333334</v>
      </c>
      <c r="AB13" s="4">
        <f>149810/12</f>
        <v>12484.166666666666</v>
      </c>
      <c r="AC13" s="5" t="s">
        <v>28</v>
      </c>
    </row>
    <row r="14" spans="1:29" ht="15.5" x14ac:dyDescent="0.35">
      <c r="A14" s="2" t="s">
        <v>30</v>
      </c>
      <c r="B14" s="1" t="s">
        <v>31</v>
      </c>
      <c r="C14" s="4">
        <f>49873/12</f>
        <v>4156.083333333333</v>
      </c>
      <c r="D14" s="4">
        <f>51369/12</f>
        <v>4280.75</v>
      </c>
      <c r="E14" s="4">
        <f>51369/12</f>
        <v>4280.75</v>
      </c>
      <c r="F14" s="4">
        <f>52910/12</f>
        <v>4409.166666666667</v>
      </c>
      <c r="G14" s="4">
        <f>52910/12</f>
        <v>4409.166666666667</v>
      </c>
      <c r="H14" s="4">
        <f>54497/12</f>
        <v>4541.416666666667</v>
      </c>
      <c r="I14" s="4">
        <f>54497/12</f>
        <v>4541.416666666667</v>
      </c>
      <c r="J14" s="4">
        <f>56132/12</f>
        <v>4677.666666666667</v>
      </c>
      <c r="K14" s="4">
        <f>56132/12</f>
        <v>4677.666666666667</v>
      </c>
      <c r="L14" s="4">
        <f>56132/12</f>
        <v>4677.666666666667</v>
      </c>
      <c r="M14" s="4">
        <f>61094/12</f>
        <v>5091.166666666667</v>
      </c>
      <c r="N14" s="4">
        <f>61094/12</f>
        <v>5091.166666666667</v>
      </c>
      <c r="O14" s="4">
        <f>62927/12</f>
        <v>5243.916666666667</v>
      </c>
      <c r="P14" s="4">
        <f>62927/12</f>
        <v>5243.916666666667</v>
      </c>
      <c r="Q14" s="4">
        <f>62927/12</f>
        <v>5243.916666666667</v>
      </c>
      <c r="R14" s="4">
        <f>64815/12</f>
        <v>5401.25</v>
      </c>
      <c r="S14" s="4">
        <f>64815/12</f>
        <v>5401.25</v>
      </c>
      <c r="T14" s="4">
        <f>66759/12</f>
        <v>5563.25</v>
      </c>
      <c r="U14" s="4">
        <f>66759/12</f>
        <v>5563.25</v>
      </c>
      <c r="V14" s="4">
        <f>66759/12</f>
        <v>5563.25</v>
      </c>
      <c r="W14" s="4">
        <f>68762/12</f>
        <v>5730.166666666667</v>
      </c>
      <c r="X14" s="4">
        <f>68762/12</f>
        <v>5730.166666666667</v>
      </c>
      <c r="Y14" s="4">
        <f>68762/12</f>
        <v>5730.166666666667</v>
      </c>
      <c r="Z14" s="4">
        <f>70825/12</f>
        <v>5902.083333333333</v>
      </c>
      <c r="AA14" s="4">
        <f>70825/12</f>
        <v>5902.083333333333</v>
      </c>
      <c r="AB14" s="4">
        <f>72315/12</f>
        <v>6026.25</v>
      </c>
      <c r="AC14" s="6" t="s">
        <v>32</v>
      </c>
    </row>
    <row r="15" spans="1:29" ht="15.5" x14ac:dyDescent="0.35">
      <c r="A15" s="2" t="s">
        <v>33</v>
      </c>
      <c r="B15" s="1" t="s">
        <v>34</v>
      </c>
      <c r="C15" s="4">
        <f>67238/12</f>
        <v>5603.166666666667</v>
      </c>
      <c r="D15" s="4">
        <f>69256/12</f>
        <v>5771.333333333333</v>
      </c>
      <c r="E15" s="4">
        <f>69256/12</f>
        <v>5771.333333333333</v>
      </c>
      <c r="F15" s="4">
        <f>71333/12</f>
        <v>5944.416666666667</v>
      </c>
      <c r="G15" s="4">
        <f>71333/12</f>
        <v>5944.416666666667</v>
      </c>
      <c r="H15" s="4">
        <f>73473/12</f>
        <v>6122.75</v>
      </c>
      <c r="I15" s="4">
        <f>73473/12</f>
        <v>6122.75</v>
      </c>
      <c r="J15" s="4">
        <f>75677/12</f>
        <v>6306.416666666667</v>
      </c>
      <c r="K15" s="4">
        <f>75677/12</f>
        <v>6306.416666666667</v>
      </c>
      <c r="L15" s="4">
        <f>75677/12</f>
        <v>6306.416666666667</v>
      </c>
      <c r="M15" s="4">
        <f>82367/12</f>
        <v>6863.916666666667</v>
      </c>
      <c r="N15" s="4">
        <f>82367/12</f>
        <v>6863.916666666667</v>
      </c>
      <c r="O15" s="4">
        <f>84838/12</f>
        <v>7069.833333333333</v>
      </c>
      <c r="P15" s="4">
        <f>84838/12</f>
        <v>7069.833333333333</v>
      </c>
      <c r="Q15" s="4">
        <f>84838/12</f>
        <v>7069.833333333333</v>
      </c>
      <c r="R15" s="4">
        <f>87383/12</f>
        <v>7281.916666666667</v>
      </c>
      <c r="S15" s="4">
        <f>87383/12</f>
        <v>7281.916666666667</v>
      </c>
      <c r="T15" s="4">
        <f>90005/12</f>
        <v>7500.416666666667</v>
      </c>
      <c r="U15" s="4">
        <f>90005/12</f>
        <v>7500.416666666667</v>
      </c>
      <c r="V15" s="4">
        <f>90005/12</f>
        <v>7500.416666666667</v>
      </c>
      <c r="W15" s="4">
        <f>92705/12</f>
        <v>7725.416666666667</v>
      </c>
      <c r="X15" s="4">
        <f>92705/12</f>
        <v>7725.416666666667</v>
      </c>
      <c r="Y15" s="4">
        <f>92705/12</f>
        <v>7725.416666666667</v>
      </c>
      <c r="Z15" s="4">
        <f>95486/12</f>
        <v>7957.166666666667</v>
      </c>
      <c r="AA15" s="4">
        <f>95486/12</f>
        <v>7957.166666666667</v>
      </c>
      <c r="AB15" s="4">
        <f>97496/12</f>
        <v>8124.666666666667</v>
      </c>
      <c r="AC15" s="5" t="s">
        <v>33</v>
      </c>
    </row>
    <row r="16" spans="1:29" ht="15.5" x14ac:dyDescent="0.35">
      <c r="A16" s="2" t="s">
        <v>35</v>
      </c>
      <c r="B16" s="1" t="s">
        <v>36</v>
      </c>
      <c r="C16" s="4">
        <f>106457/12</f>
        <v>8871.4166666666661</v>
      </c>
      <c r="D16" s="4">
        <f>109650/12</f>
        <v>9137.5</v>
      </c>
      <c r="E16" s="4">
        <f>109650/12</f>
        <v>9137.5</v>
      </c>
      <c r="F16" s="4">
        <f>112940/12</f>
        <v>9411.6666666666661</v>
      </c>
      <c r="G16" s="4">
        <f>112940/12</f>
        <v>9411.6666666666661</v>
      </c>
      <c r="H16" s="4">
        <f>116328/12</f>
        <v>9694</v>
      </c>
      <c r="I16" s="4">
        <f>116328/12</f>
        <v>9694</v>
      </c>
      <c r="J16" s="4">
        <f>119818/12</f>
        <v>9984.8333333333339</v>
      </c>
      <c r="K16" s="4">
        <f>119818/12</f>
        <v>9984.8333333333339</v>
      </c>
      <c r="L16" s="4">
        <f>119818/12</f>
        <v>9984.8333333333339</v>
      </c>
      <c r="M16" s="4">
        <f>130409/12</f>
        <v>10867.416666666666</v>
      </c>
      <c r="N16" s="4">
        <f>130409/12</f>
        <v>10867.416666666666</v>
      </c>
      <c r="O16" s="4">
        <f>134322/12</f>
        <v>11193.5</v>
      </c>
      <c r="P16" s="4">
        <f>134322/12</f>
        <v>11193.5</v>
      </c>
      <c r="Q16" s="4">
        <f>134322/12</f>
        <v>11193.5</v>
      </c>
      <c r="R16" s="4">
        <f>138351/12</f>
        <v>11529.25</v>
      </c>
      <c r="S16" s="4">
        <f>138351/12</f>
        <v>11529.25</v>
      </c>
      <c r="T16" s="4">
        <f>142502/12</f>
        <v>11875.166666666666</v>
      </c>
      <c r="U16" s="4">
        <f>142502/12</f>
        <v>11875.166666666666</v>
      </c>
      <c r="V16" s="4">
        <f>142502/12</f>
        <v>11875.166666666666</v>
      </c>
      <c r="W16" s="4">
        <f>146777/12</f>
        <v>12231.416666666666</v>
      </c>
      <c r="X16" s="4">
        <f>146777/12</f>
        <v>12231.416666666666</v>
      </c>
      <c r="Y16" s="4">
        <f>146777/12</f>
        <v>12231.416666666666</v>
      </c>
      <c r="Z16" s="4">
        <f>151180/12</f>
        <v>12598.333333333334</v>
      </c>
      <c r="AA16" s="4">
        <f>151180/12</f>
        <v>12598.333333333334</v>
      </c>
      <c r="AB16" s="4">
        <f>154362/12</f>
        <v>12863.5</v>
      </c>
      <c r="AC16" s="5" t="s">
        <v>35</v>
      </c>
    </row>
    <row r="17" spans="1:29" ht="15.5" x14ac:dyDescent="0.35">
      <c r="A17" s="2" t="s">
        <v>37</v>
      </c>
      <c r="B17" s="1" t="s">
        <v>38</v>
      </c>
      <c r="C17" s="4">
        <f>117074/12</f>
        <v>9756.1666666666661</v>
      </c>
      <c r="D17" s="4">
        <f>120586/12</f>
        <v>10048.833333333334</v>
      </c>
      <c r="E17" s="4">
        <f>120586/12</f>
        <v>10048.833333333334</v>
      </c>
      <c r="F17" s="4">
        <f>124204/12</f>
        <v>10350.333333333334</v>
      </c>
      <c r="G17" s="4">
        <f>124204/12</f>
        <v>10350.333333333334</v>
      </c>
      <c r="H17" s="4">
        <f>127930/12</f>
        <v>10660.833333333334</v>
      </c>
      <c r="I17" s="4">
        <f>127930/12</f>
        <v>10660.833333333334</v>
      </c>
      <c r="J17" s="4">
        <f>131768/12</f>
        <v>10980.666666666666</v>
      </c>
      <c r="K17" s="4">
        <f>131768/12</f>
        <v>10980.666666666666</v>
      </c>
      <c r="L17" s="4">
        <f>131768/12</f>
        <v>10980.666666666666</v>
      </c>
      <c r="M17" s="4">
        <f>143416/12</f>
        <v>11951.333333333334</v>
      </c>
      <c r="N17" s="4">
        <f>143416/12</f>
        <v>11951.333333333334</v>
      </c>
      <c r="O17" s="4">
        <f>147718/12</f>
        <v>12309.833333333334</v>
      </c>
      <c r="P17" s="4">
        <f>147718/12</f>
        <v>12309.833333333334</v>
      </c>
      <c r="Q17" s="4">
        <f>147718/12</f>
        <v>12309.833333333334</v>
      </c>
      <c r="R17" s="4">
        <f>152150/12</f>
        <v>12679.166666666666</v>
      </c>
      <c r="S17" s="4">
        <f>152150/12</f>
        <v>12679.166666666666</v>
      </c>
      <c r="T17" s="4">
        <f>156714/12</f>
        <v>13059.5</v>
      </c>
      <c r="U17" s="4">
        <f>156714/12</f>
        <v>13059.5</v>
      </c>
      <c r="V17" s="4">
        <f>156714/12</f>
        <v>13059.5</v>
      </c>
      <c r="W17" s="4">
        <f>161415/12</f>
        <v>13451.25</v>
      </c>
      <c r="X17" s="4">
        <f>161415/12</f>
        <v>13451.25</v>
      </c>
      <c r="Y17" s="4">
        <f>161415/12</f>
        <v>13451.25</v>
      </c>
      <c r="Z17" s="4">
        <f>166258/12</f>
        <v>13854.833333333334</v>
      </c>
      <c r="AA17" s="4">
        <f>166258/12</f>
        <v>13854.833333333334</v>
      </c>
      <c r="AB17" s="4">
        <f>169757/12</f>
        <v>14146.416666666666</v>
      </c>
      <c r="AC17" s="5" t="s">
        <v>37</v>
      </c>
    </row>
    <row r="18" spans="1:29" ht="15.5" x14ac:dyDescent="0.35">
      <c r="A18" s="2" t="s">
        <v>39</v>
      </c>
      <c r="B18" s="1" t="s">
        <v>40</v>
      </c>
      <c r="C18" s="4">
        <f>89993/12</f>
        <v>7499.416666666667</v>
      </c>
      <c r="D18" s="4">
        <f>92693/12</f>
        <v>7724.416666666667</v>
      </c>
      <c r="E18" s="4">
        <f>92693/12</f>
        <v>7724.416666666667</v>
      </c>
      <c r="F18" s="4">
        <f>95474/12</f>
        <v>7956.166666666667</v>
      </c>
      <c r="G18" s="4">
        <f>95474/12</f>
        <v>7956.166666666667</v>
      </c>
      <c r="H18" s="4">
        <f>98338/12</f>
        <v>8194.8333333333339</v>
      </c>
      <c r="I18" s="4">
        <f>98338/12</f>
        <v>8194.8333333333339</v>
      </c>
      <c r="J18" s="4">
        <f>101288/12</f>
        <v>8440.6666666666661</v>
      </c>
      <c r="K18" s="4">
        <f>101288/12</f>
        <v>8440.6666666666661</v>
      </c>
      <c r="L18" s="4">
        <f>101288/12</f>
        <v>8440.6666666666661</v>
      </c>
      <c r="M18" s="4">
        <f>110242/12</f>
        <v>9186.8333333333339</v>
      </c>
      <c r="N18" s="4">
        <f>110242/12</f>
        <v>9186.8333333333339</v>
      </c>
      <c r="O18" s="4">
        <f>113549/12</f>
        <v>9462.4166666666661</v>
      </c>
      <c r="P18" s="4">
        <f>113549/12</f>
        <v>9462.4166666666661</v>
      </c>
      <c r="Q18" s="4">
        <f>113549/12</f>
        <v>9462.4166666666661</v>
      </c>
      <c r="R18" s="4">
        <f>116955/12</f>
        <v>9746.25</v>
      </c>
      <c r="S18" s="4">
        <f>116955/12</f>
        <v>9746.25</v>
      </c>
      <c r="T18" s="4">
        <f>120464/12</f>
        <v>10038.666666666666</v>
      </c>
      <c r="U18" s="4">
        <f>120464/12</f>
        <v>10038.666666666666</v>
      </c>
      <c r="V18" s="4">
        <f>120464/12</f>
        <v>10038.666666666666</v>
      </c>
      <c r="W18" s="4">
        <f>124078/12</f>
        <v>10339.833333333334</v>
      </c>
      <c r="X18" s="4">
        <f>124078/12</f>
        <v>10339.833333333334</v>
      </c>
      <c r="Y18" s="4">
        <f>124078/12</f>
        <v>10339.833333333334</v>
      </c>
      <c r="Z18" s="4">
        <f>127800/12</f>
        <v>10650</v>
      </c>
      <c r="AA18" s="4">
        <f>127800/12</f>
        <v>10650</v>
      </c>
      <c r="AB18" s="4">
        <f>130490/12</f>
        <v>10874.166666666666</v>
      </c>
      <c r="AC18" s="5" t="s">
        <v>39</v>
      </c>
    </row>
    <row r="19" spans="1:29" ht="15.5" x14ac:dyDescent="0.35">
      <c r="A19" s="2" t="s">
        <v>41</v>
      </c>
      <c r="B19" s="1" t="s">
        <v>42</v>
      </c>
      <c r="C19" s="4">
        <f>94974/12</f>
        <v>7914.5</v>
      </c>
      <c r="D19" s="4">
        <f>97823/12</f>
        <v>8151.916666666667</v>
      </c>
      <c r="E19" s="4">
        <f>97823/12</f>
        <v>8151.916666666667</v>
      </c>
      <c r="F19" s="4">
        <f>100758/12</f>
        <v>8396.5</v>
      </c>
      <c r="G19" s="4">
        <f>100758/12</f>
        <v>8396.5</v>
      </c>
      <c r="H19" s="4">
        <f>103781/12</f>
        <v>8648.4166666666661</v>
      </c>
      <c r="I19" s="4">
        <f>103781/12</f>
        <v>8648.4166666666661</v>
      </c>
      <c r="J19" s="4">
        <f>106894/12</f>
        <v>8907.8333333333339</v>
      </c>
      <c r="K19" s="4">
        <f>106894/12</f>
        <v>8907.8333333333339</v>
      </c>
      <c r="L19" s="4">
        <f>106894/12</f>
        <v>8907.8333333333339</v>
      </c>
      <c r="M19" s="4">
        <f>116343/12</f>
        <v>9695.25</v>
      </c>
      <c r="N19" s="4">
        <f>116343/12</f>
        <v>9695.25</v>
      </c>
      <c r="O19" s="4">
        <f>119834/12</f>
        <v>9986.1666666666661</v>
      </c>
      <c r="P19" s="4">
        <f>119834/12</f>
        <v>9986.1666666666661</v>
      </c>
      <c r="Q19" s="4">
        <f>119834/12</f>
        <v>9986.1666666666661</v>
      </c>
      <c r="R19" s="4">
        <f>123429/12</f>
        <v>10285.75</v>
      </c>
      <c r="S19" s="4">
        <f>123429/12</f>
        <v>10285.75</v>
      </c>
      <c r="T19" s="4">
        <f>127132/12</f>
        <v>10594.333333333334</v>
      </c>
      <c r="U19" s="4">
        <f>127132/12</f>
        <v>10594.333333333334</v>
      </c>
      <c r="V19" s="4">
        <f>127132/12</f>
        <v>10594.333333333334</v>
      </c>
      <c r="W19" s="4">
        <f>130946/12</f>
        <v>10912.166666666666</v>
      </c>
      <c r="X19" s="4">
        <f>130946/12</f>
        <v>10912.166666666666</v>
      </c>
      <c r="Y19" s="4">
        <f>130946/12</f>
        <v>10912.166666666666</v>
      </c>
      <c r="Z19" s="4">
        <f>134874/12</f>
        <v>11239.5</v>
      </c>
      <c r="AA19" s="4">
        <f>134874/12</f>
        <v>11239.5</v>
      </c>
      <c r="AB19" s="4">
        <f>137713/12</f>
        <v>11476.083333333334</v>
      </c>
      <c r="AC19" s="5" t="s">
        <v>41</v>
      </c>
    </row>
    <row r="20" spans="1:29" ht="15.5" x14ac:dyDescent="0.35">
      <c r="A20" s="2" t="s">
        <v>43</v>
      </c>
      <c r="B20" s="1" t="s">
        <v>44</v>
      </c>
      <c r="C20" s="4">
        <f>92935/12</f>
        <v>7744.583333333333</v>
      </c>
      <c r="D20" s="4">
        <f>95723/12</f>
        <v>7976.916666666667</v>
      </c>
      <c r="E20" s="4">
        <f>95723/12</f>
        <v>7976.916666666667</v>
      </c>
      <c r="F20" s="4">
        <f>98595/12</f>
        <v>8216.25</v>
      </c>
      <c r="G20" s="4">
        <f>98595/12</f>
        <v>8216.25</v>
      </c>
      <c r="H20" s="4">
        <f>101552/12</f>
        <v>8462.6666666666661</v>
      </c>
      <c r="I20" s="4">
        <f>101552/12</f>
        <v>8462.6666666666661</v>
      </c>
      <c r="J20" s="4">
        <f>104599/12</f>
        <v>8716.5833333333339</v>
      </c>
      <c r="K20" s="4">
        <f>104599/12</f>
        <v>8716.5833333333339</v>
      </c>
      <c r="L20" s="4">
        <f>104599/12</f>
        <v>8716.5833333333339</v>
      </c>
      <c r="M20" s="4">
        <f>113845/12</f>
        <v>9487.0833333333339</v>
      </c>
      <c r="N20" s="4">
        <f>113845/12</f>
        <v>9487.0833333333339</v>
      </c>
      <c r="O20" s="4">
        <f>117261/12</f>
        <v>9771.75</v>
      </c>
      <c r="P20" s="4">
        <f>117261/12</f>
        <v>9771.75</v>
      </c>
      <c r="Q20" s="4">
        <f>117261/12</f>
        <v>9771.75</v>
      </c>
      <c r="R20" s="4">
        <f>120778/12</f>
        <v>10064.833333333334</v>
      </c>
      <c r="S20" s="4">
        <f>120778/12</f>
        <v>10064.833333333334</v>
      </c>
      <c r="T20" s="4">
        <f>124402/12</f>
        <v>10366.833333333334</v>
      </c>
      <c r="U20" s="4">
        <f>124402/12</f>
        <v>10366.833333333334</v>
      </c>
      <c r="V20" s="4">
        <f>124402/12</f>
        <v>10366.833333333334</v>
      </c>
      <c r="W20" s="4">
        <f>128134/12</f>
        <v>10677.833333333334</v>
      </c>
      <c r="X20" s="4">
        <f>128134/12</f>
        <v>10677.833333333334</v>
      </c>
      <c r="Y20" s="4">
        <f>128134/12</f>
        <v>10677.833333333334</v>
      </c>
      <c r="Z20" s="4">
        <f>131978/12</f>
        <v>10998.166666666666</v>
      </c>
      <c r="AA20" s="4">
        <f>131978/12</f>
        <v>10998.166666666666</v>
      </c>
      <c r="AB20" s="4">
        <f>134756/12</f>
        <v>11229.666666666666</v>
      </c>
      <c r="AC20" s="5" t="s">
        <v>43</v>
      </c>
    </row>
    <row r="21" spans="1:29" ht="15.5" x14ac:dyDescent="0.35">
      <c r="A21" s="2" t="s">
        <v>45</v>
      </c>
      <c r="B21" s="1" t="s">
        <v>46</v>
      </c>
      <c r="C21" s="4">
        <f>88139/12</f>
        <v>7344.916666666667</v>
      </c>
      <c r="D21" s="4">
        <f>90783/12</f>
        <v>7565.25</v>
      </c>
      <c r="E21" s="4">
        <f>90783/12</f>
        <v>7565.25</v>
      </c>
      <c r="F21" s="4">
        <f>93507/12</f>
        <v>7792.25</v>
      </c>
      <c r="G21" s="4">
        <f>93507/12</f>
        <v>7792.25</v>
      </c>
      <c r="H21" s="4">
        <f>96312/12</f>
        <v>8026</v>
      </c>
      <c r="I21" s="4">
        <f>96312/12</f>
        <v>8026</v>
      </c>
      <c r="J21" s="4">
        <f>99201/12</f>
        <v>8266.75</v>
      </c>
      <c r="K21" s="4">
        <f>99201/12</f>
        <v>8266.75</v>
      </c>
      <c r="L21" s="4">
        <f>99201/12</f>
        <v>8266.75</v>
      </c>
      <c r="M21" s="4">
        <f>107970/12</f>
        <v>8997.5</v>
      </c>
      <c r="N21" s="4">
        <f>107970/12</f>
        <v>8997.5</v>
      </c>
      <c r="O21" s="4">
        <f>111210/12</f>
        <v>9267.5</v>
      </c>
      <c r="P21" s="4">
        <f>111210/12</f>
        <v>9267.5</v>
      </c>
      <c r="Q21" s="4">
        <f>111210/12</f>
        <v>9267.5</v>
      </c>
      <c r="R21" s="4">
        <f>114546/12</f>
        <v>9545.5</v>
      </c>
      <c r="S21" s="4">
        <f>114546/12</f>
        <v>9545.5</v>
      </c>
      <c r="T21" s="4">
        <f>117982/12</f>
        <v>9831.8333333333339</v>
      </c>
      <c r="U21" s="4">
        <f>117982/12</f>
        <v>9831.8333333333339</v>
      </c>
      <c r="V21" s="4">
        <f>117982/12</f>
        <v>9831.8333333333339</v>
      </c>
      <c r="W21" s="4">
        <f>121522/12</f>
        <v>10126.833333333334</v>
      </c>
      <c r="X21" s="4">
        <f>121522/12</f>
        <v>10126.833333333334</v>
      </c>
      <c r="Y21" s="4">
        <f>121522/12</f>
        <v>10126.833333333334</v>
      </c>
      <c r="Z21" s="4">
        <f>125167/12</f>
        <v>10430.583333333334</v>
      </c>
      <c r="AA21" s="4">
        <f>125167/12</f>
        <v>10430.583333333334</v>
      </c>
      <c r="AB21" s="4">
        <f>127802/12</f>
        <v>10650.166666666666</v>
      </c>
      <c r="AC21" s="5" t="s">
        <v>45</v>
      </c>
    </row>
    <row r="22" spans="1:29" ht="15.5" x14ac:dyDescent="0.35">
      <c r="A22" s="2" t="s">
        <v>47</v>
      </c>
      <c r="B22" s="1" t="s">
        <v>48</v>
      </c>
      <c r="C22" s="4">
        <f>64173/12</f>
        <v>5347.75</v>
      </c>
      <c r="D22" s="4">
        <f>66098/12</f>
        <v>5508.166666666667</v>
      </c>
      <c r="E22" s="4">
        <f>66098/12</f>
        <v>5508.166666666667</v>
      </c>
      <c r="F22" s="4">
        <f>68081/12</f>
        <v>5673.416666666667</v>
      </c>
      <c r="G22" s="4">
        <f>68081/12</f>
        <v>5673.416666666667</v>
      </c>
      <c r="H22" s="4">
        <f>70124/12</f>
        <v>5843.666666666667</v>
      </c>
      <c r="I22" s="4">
        <f>70124/12</f>
        <v>5843.666666666667</v>
      </c>
      <c r="J22" s="4">
        <f>72227/12</f>
        <v>6018.916666666667</v>
      </c>
      <c r="K22" s="4">
        <f>72227/12</f>
        <v>6018.916666666667</v>
      </c>
      <c r="L22" s="4">
        <f>72227/12</f>
        <v>6018.916666666667</v>
      </c>
      <c r="M22" s="4">
        <f>78612/12</f>
        <v>6551</v>
      </c>
      <c r="N22" s="4">
        <f>78612/12</f>
        <v>6551</v>
      </c>
      <c r="O22" s="4">
        <f>80970/12</f>
        <v>6747.5</v>
      </c>
      <c r="P22" s="4">
        <f>80970/12</f>
        <v>6747.5</v>
      </c>
      <c r="Q22" s="4">
        <f>80970/12</f>
        <v>6747.5</v>
      </c>
      <c r="R22" s="4">
        <f>83400/12</f>
        <v>6950</v>
      </c>
      <c r="S22" s="4">
        <f>83400/12</f>
        <v>6950</v>
      </c>
      <c r="T22" s="4">
        <f>85902/12</f>
        <v>7158.5</v>
      </c>
      <c r="U22" s="4">
        <f>85902/12</f>
        <v>7158.5</v>
      </c>
      <c r="V22" s="4">
        <f>85902/12</f>
        <v>7158.5</v>
      </c>
      <c r="W22" s="4">
        <f>88479/12</f>
        <v>7373.25</v>
      </c>
      <c r="X22" s="4">
        <f>88479/12</f>
        <v>7373.25</v>
      </c>
      <c r="Y22" s="4">
        <f>88479/12</f>
        <v>7373.25</v>
      </c>
      <c r="Z22" s="4">
        <f>91133/12</f>
        <v>7594.416666666667</v>
      </c>
      <c r="AA22" s="4">
        <f>91133/12</f>
        <v>7594.416666666667</v>
      </c>
      <c r="AB22" s="4">
        <f>93051/12</f>
        <v>7754.25</v>
      </c>
      <c r="AC22" s="5" t="s">
        <v>47</v>
      </c>
    </row>
    <row r="23" spans="1:29" ht="15.5" x14ac:dyDescent="0.35">
      <c r="A23" s="2" t="s">
        <v>49</v>
      </c>
      <c r="B23" s="1" t="s">
        <v>50</v>
      </c>
      <c r="C23" s="4">
        <f>72096/12</f>
        <v>6008</v>
      </c>
      <c r="D23" s="4">
        <f>74259/12</f>
        <v>6188.25</v>
      </c>
      <c r="E23" s="4">
        <f>74259/12</f>
        <v>6188.25</v>
      </c>
      <c r="F23" s="4">
        <f>76487/12</f>
        <v>6373.916666666667</v>
      </c>
      <c r="G23" s="4">
        <f>76487/12</f>
        <v>6373.916666666667</v>
      </c>
      <c r="H23" s="4">
        <f>78781/12</f>
        <v>6565.083333333333</v>
      </c>
      <c r="I23" s="4">
        <f>78781/12</f>
        <v>6565.083333333333</v>
      </c>
      <c r="J23" s="4">
        <f>81145/12</f>
        <v>6762.083333333333</v>
      </c>
      <c r="K23" s="4">
        <f>81145/12</f>
        <v>6762.083333333333</v>
      </c>
      <c r="L23" s="4">
        <f>81145/12</f>
        <v>6762.083333333333</v>
      </c>
      <c r="M23" s="4">
        <f>88317/12</f>
        <v>7359.75</v>
      </c>
      <c r="N23" s="4">
        <f>88317/12</f>
        <v>7359.75</v>
      </c>
      <c r="O23" s="4">
        <f>90967/12</f>
        <v>7580.583333333333</v>
      </c>
      <c r="P23" s="4">
        <f>90967/12</f>
        <v>7580.583333333333</v>
      </c>
      <c r="Q23" s="4">
        <f>90967/12</f>
        <v>7580.583333333333</v>
      </c>
      <c r="R23" s="4">
        <f>93696/12</f>
        <v>7808</v>
      </c>
      <c r="S23" s="4">
        <f>93696/12</f>
        <v>7808</v>
      </c>
      <c r="T23" s="4">
        <f>96507/12</f>
        <v>8042.25</v>
      </c>
      <c r="U23" s="4">
        <f>96507/12</f>
        <v>8042.25</v>
      </c>
      <c r="V23" s="4">
        <f>96507/12</f>
        <v>8042.25</v>
      </c>
      <c r="W23" s="4">
        <f>99402/12</f>
        <v>8283.5</v>
      </c>
      <c r="X23" s="4">
        <f>99402/12</f>
        <v>8283.5</v>
      </c>
      <c r="Y23" s="4">
        <f>99402/12</f>
        <v>8283.5</v>
      </c>
      <c r="Z23" s="4">
        <f>102384/12</f>
        <v>8532</v>
      </c>
      <c r="AA23" s="4">
        <f>102384/12</f>
        <v>8532</v>
      </c>
      <c r="AB23" s="4">
        <f>104539/12</f>
        <v>8711.5833333333339</v>
      </c>
      <c r="AC23" s="5" t="s">
        <v>49</v>
      </c>
    </row>
    <row r="24" spans="1:29" ht="15.5" x14ac:dyDescent="0.35">
      <c r="A24" s="2" t="s">
        <v>51</v>
      </c>
      <c r="B24" s="1" t="s">
        <v>52</v>
      </c>
      <c r="C24" s="4">
        <f>109497/12</f>
        <v>9124.75</v>
      </c>
      <c r="D24" s="4">
        <f>112782/12</f>
        <v>9398.5</v>
      </c>
      <c r="E24" s="4">
        <f>112782/12</f>
        <v>9398.5</v>
      </c>
      <c r="F24" s="4">
        <f>116166/12</f>
        <v>9680.5</v>
      </c>
      <c r="G24" s="4">
        <f>116166/12</f>
        <v>9680.5</v>
      </c>
      <c r="H24" s="4">
        <f>119651/12</f>
        <v>9970.9166666666661</v>
      </c>
      <c r="I24" s="4">
        <f>119651/12</f>
        <v>9970.9166666666661</v>
      </c>
      <c r="J24" s="4">
        <f>123240/12</f>
        <v>10270</v>
      </c>
      <c r="K24" s="4">
        <f>123240/12</f>
        <v>10270</v>
      </c>
      <c r="L24" s="4">
        <f>123240/12</f>
        <v>10270</v>
      </c>
      <c r="M24" s="4">
        <f>134134/12</f>
        <v>11177.833333333334</v>
      </c>
      <c r="N24" s="4">
        <f>134134/12</f>
        <v>11177.833333333334</v>
      </c>
      <c r="O24" s="4">
        <f>138158/12</f>
        <v>11513.166666666666</v>
      </c>
      <c r="P24" s="4">
        <f>138158/12</f>
        <v>11513.166666666666</v>
      </c>
      <c r="Q24" s="4">
        <f>138158/12</f>
        <v>11513.166666666666</v>
      </c>
      <c r="R24" s="4">
        <f>142303/12</f>
        <v>11858.583333333334</v>
      </c>
      <c r="S24" s="4">
        <f>142303/12</f>
        <v>11858.583333333334</v>
      </c>
      <c r="T24" s="4">
        <f>146572/12</f>
        <v>12214.333333333334</v>
      </c>
      <c r="U24" s="4">
        <f>146572/12</f>
        <v>12214.333333333334</v>
      </c>
      <c r="V24" s="4">
        <f>146572/12</f>
        <v>12214.333333333334</v>
      </c>
      <c r="W24" s="4">
        <f>150969/12</f>
        <v>12580.75</v>
      </c>
      <c r="X24" s="4">
        <f>150969/12</f>
        <v>12580.75</v>
      </c>
      <c r="Y24" s="4">
        <f>150969/12</f>
        <v>12580.75</v>
      </c>
      <c r="Z24" s="4">
        <f>155498/12</f>
        <v>12958.166666666666</v>
      </c>
      <c r="AA24" s="4">
        <f>155498/12</f>
        <v>12958.166666666666</v>
      </c>
      <c r="AB24" s="4">
        <f>158771/12</f>
        <v>13230.916666666666</v>
      </c>
      <c r="AC24" s="5" t="s">
        <v>51</v>
      </c>
    </row>
    <row r="25" spans="1:29" ht="15.5" x14ac:dyDescent="0.35">
      <c r="A25" s="2" t="s">
        <v>53</v>
      </c>
      <c r="B25" s="1" t="s">
        <v>54</v>
      </c>
      <c r="C25" s="4">
        <f>59180/12</f>
        <v>4931.666666666667</v>
      </c>
      <c r="D25" s="4">
        <f>60955/12</f>
        <v>5079.583333333333</v>
      </c>
      <c r="E25" s="4">
        <f>60955/12</f>
        <v>5079.583333333333</v>
      </c>
      <c r="F25" s="4">
        <f>62784/12</f>
        <v>5232</v>
      </c>
      <c r="G25" s="4">
        <f>62784/12</f>
        <v>5232</v>
      </c>
      <c r="H25" s="4">
        <f>64667/12</f>
        <v>5388.916666666667</v>
      </c>
      <c r="I25" s="4">
        <f>64667/12</f>
        <v>5388.916666666667</v>
      </c>
      <c r="J25" s="4">
        <f>66607/12</f>
        <v>5550.583333333333</v>
      </c>
      <c r="K25" s="4">
        <f>66607/12</f>
        <v>5550.583333333333</v>
      </c>
      <c r="L25" s="4">
        <f>66607/12</f>
        <v>5550.583333333333</v>
      </c>
      <c r="M25" s="4">
        <f>72514/12</f>
        <v>6042.833333333333</v>
      </c>
      <c r="N25" s="4">
        <f>72514/12</f>
        <v>6042.833333333333</v>
      </c>
      <c r="O25" s="4">
        <f>74689/12</f>
        <v>6224.083333333333</v>
      </c>
      <c r="P25" s="4">
        <f>74689/12</f>
        <v>6224.083333333333</v>
      </c>
      <c r="Q25" s="4">
        <f>74689/12</f>
        <v>6224.083333333333</v>
      </c>
      <c r="R25" s="4">
        <f>76930/12</f>
        <v>6410.833333333333</v>
      </c>
      <c r="S25" s="4">
        <f>76930/12</f>
        <v>6410.833333333333</v>
      </c>
      <c r="T25" s="4">
        <f>79238/12</f>
        <v>6603.166666666667</v>
      </c>
      <c r="U25" s="4">
        <f>79238/12</f>
        <v>6603.166666666667</v>
      </c>
      <c r="V25" s="4">
        <f>79238/12</f>
        <v>6603.166666666667</v>
      </c>
      <c r="W25" s="4">
        <f>81615/12</f>
        <v>6801.25</v>
      </c>
      <c r="X25" s="4">
        <f>81615/12</f>
        <v>6801.25</v>
      </c>
      <c r="Y25" s="4">
        <f>81615/12</f>
        <v>6801.25</v>
      </c>
      <c r="Z25" s="4">
        <f>84063/12</f>
        <v>7005.25</v>
      </c>
      <c r="AA25" s="4">
        <f>84063/12</f>
        <v>7005.25</v>
      </c>
      <c r="AB25" s="4">
        <f>85848/12</f>
        <v>7154</v>
      </c>
      <c r="AC25" s="5" t="s">
        <v>53</v>
      </c>
    </row>
    <row r="26" spans="1:29" ht="15.5" x14ac:dyDescent="0.35">
      <c r="A26" s="2" t="s">
        <v>55</v>
      </c>
      <c r="B26" s="1" t="s">
        <v>56</v>
      </c>
      <c r="C26" s="4">
        <f>74345/12</f>
        <v>6195.416666666667</v>
      </c>
      <c r="D26" s="4">
        <f>76576/12</f>
        <v>6381.333333333333</v>
      </c>
      <c r="E26" s="4">
        <f>76576/12</f>
        <v>6381.333333333333</v>
      </c>
      <c r="F26" s="4">
        <f>78873/12</f>
        <v>6572.75</v>
      </c>
      <c r="G26" s="4">
        <f>78873/12</f>
        <v>6572.75</v>
      </c>
      <c r="H26" s="4">
        <f>81239/12</f>
        <v>6769.916666666667</v>
      </c>
      <c r="I26" s="4">
        <f>81239/12</f>
        <v>6769.916666666667</v>
      </c>
      <c r="J26" s="4">
        <f>83676/12</f>
        <v>6973</v>
      </c>
      <c r="K26" s="4">
        <f>83676/12</f>
        <v>6973</v>
      </c>
      <c r="L26" s="4">
        <f>83676/12</f>
        <v>6973</v>
      </c>
      <c r="M26" s="4">
        <f>91073/12</f>
        <v>7589.416666666667</v>
      </c>
      <c r="N26" s="4">
        <f>91073/12</f>
        <v>7589.416666666667</v>
      </c>
      <c r="O26" s="4">
        <f>93805/12</f>
        <v>7817.083333333333</v>
      </c>
      <c r="P26" s="4">
        <f>93805/12</f>
        <v>7817.083333333333</v>
      </c>
      <c r="Q26" s="4">
        <f>93805/12</f>
        <v>7817.083333333333</v>
      </c>
      <c r="R26" s="4">
        <f>96619/12</f>
        <v>8051.583333333333</v>
      </c>
      <c r="S26" s="4">
        <f>96619/12</f>
        <v>8051.583333333333</v>
      </c>
      <c r="T26" s="4">
        <f>99518/12</f>
        <v>8293.1666666666661</v>
      </c>
      <c r="U26" s="4">
        <f>99518/12</f>
        <v>8293.1666666666661</v>
      </c>
      <c r="V26" s="4">
        <f>99518/12</f>
        <v>8293.1666666666661</v>
      </c>
      <c r="W26" s="4">
        <f>102504/12</f>
        <v>8542</v>
      </c>
      <c r="X26" s="4">
        <f>102504/12</f>
        <v>8542</v>
      </c>
      <c r="Y26" s="4">
        <f>102504/12</f>
        <v>8542</v>
      </c>
      <c r="Z26" s="4">
        <f>105579/12</f>
        <v>8798.25</v>
      </c>
      <c r="AA26" s="4">
        <f>105579/12</f>
        <v>8798.25</v>
      </c>
      <c r="AB26" s="4">
        <f>107801/12</f>
        <v>8983.4166666666661</v>
      </c>
      <c r="AC26" s="5" t="s">
        <v>55</v>
      </c>
    </row>
    <row r="27" spans="1:29" ht="15.5" x14ac:dyDescent="0.35">
      <c r="A27" s="2" t="s">
        <v>57</v>
      </c>
      <c r="B27" s="1" t="s">
        <v>58</v>
      </c>
      <c r="C27" s="4">
        <f>86446/12</f>
        <v>7203.833333333333</v>
      </c>
      <c r="D27" s="4">
        <f>89039/12</f>
        <v>7419.916666666667</v>
      </c>
      <c r="E27" s="4">
        <f>89039/12</f>
        <v>7419.916666666667</v>
      </c>
      <c r="F27" s="4">
        <f>91710/12</f>
        <v>7642.5</v>
      </c>
      <c r="G27" s="4">
        <f>91710/12</f>
        <v>7642.5</v>
      </c>
      <c r="H27" s="4">
        <f>94462/12</f>
        <v>7871.833333333333</v>
      </c>
      <c r="I27" s="4">
        <f>94462/12</f>
        <v>7871.833333333333</v>
      </c>
      <c r="J27" s="4">
        <f>97296/12</f>
        <v>8108</v>
      </c>
      <c r="K27" s="4">
        <f>97296/12</f>
        <v>8108</v>
      </c>
      <c r="L27" s="4">
        <f>97296/12</f>
        <v>8108</v>
      </c>
      <c r="M27" s="4">
        <f>105896/12</f>
        <v>8824.6666666666661</v>
      </c>
      <c r="N27" s="4">
        <f>105896/12</f>
        <v>8824.6666666666661</v>
      </c>
      <c r="O27" s="4">
        <f>109073/12</f>
        <v>9089.4166666666661</v>
      </c>
      <c r="P27" s="4">
        <f>109073/12</f>
        <v>9089.4166666666661</v>
      </c>
      <c r="Q27" s="4">
        <f>109073/12</f>
        <v>9089.4166666666661</v>
      </c>
      <c r="R27" s="4">
        <f>112345/12</f>
        <v>9362.0833333333339</v>
      </c>
      <c r="S27" s="4">
        <f>112345/12</f>
        <v>9362.0833333333339</v>
      </c>
      <c r="T27" s="4">
        <f>115716/12</f>
        <v>9643</v>
      </c>
      <c r="U27" s="4">
        <f>115716/12</f>
        <v>9643</v>
      </c>
      <c r="V27" s="4">
        <f>115716/12</f>
        <v>9643</v>
      </c>
      <c r="W27" s="4">
        <f>119187/12</f>
        <v>9932.25</v>
      </c>
      <c r="X27" s="4">
        <f>119187/12</f>
        <v>9932.25</v>
      </c>
      <c r="Y27" s="4">
        <f>119187/12</f>
        <v>9932.25</v>
      </c>
      <c r="Z27" s="4">
        <f>122763/12</f>
        <v>10230.25</v>
      </c>
      <c r="AA27" s="4">
        <f>122763/12</f>
        <v>10230.25</v>
      </c>
      <c r="AB27" s="4">
        <f>125346/12</f>
        <v>10445.5</v>
      </c>
      <c r="AC27" s="5" t="s">
        <v>57</v>
      </c>
    </row>
    <row r="28" spans="1:29" ht="15.5" x14ac:dyDescent="0.35">
      <c r="A28" s="2" t="s">
        <v>59</v>
      </c>
      <c r="B28" s="1" t="s">
        <v>60</v>
      </c>
      <c r="C28" s="4">
        <f>33743/12</f>
        <v>2811.9166666666665</v>
      </c>
      <c r="D28" s="4">
        <f>34755/12</f>
        <v>2896.25</v>
      </c>
      <c r="E28" s="4">
        <f>34755/12</f>
        <v>2896.25</v>
      </c>
      <c r="F28" s="4">
        <f>35798/12</f>
        <v>2983.1666666666665</v>
      </c>
      <c r="G28" s="4">
        <f>35798/12</f>
        <v>2983.1666666666665</v>
      </c>
      <c r="H28" s="4">
        <f>36872/12</f>
        <v>3072.6666666666665</v>
      </c>
      <c r="I28" s="4">
        <f>36872/12</f>
        <v>3072.6666666666665</v>
      </c>
      <c r="J28" s="4">
        <f>37978/12</f>
        <v>3164.8333333333335</v>
      </c>
      <c r="K28" s="4">
        <f>37978/12</f>
        <v>3164.8333333333335</v>
      </c>
      <c r="L28" s="4">
        <f>37978/12</f>
        <v>3164.8333333333335</v>
      </c>
      <c r="M28" s="4">
        <f>41335/12</f>
        <v>3444.5833333333335</v>
      </c>
      <c r="N28" s="4">
        <f>41335/12</f>
        <v>3444.5833333333335</v>
      </c>
      <c r="O28" s="4">
        <f>42575/12</f>
        <v>3547.9166666666665</v>
      </c>
      <c r="P28" s="4">
        <f>42575/12</f>
        <v>3547.9166666666665</v>
      </c>
      <c r="Q28" s="4">
        <f>42575/12</f>
        <v>3547.9166666666665</v>
      </c>
      <c r="R28" s="4">
        <f>43852/12</f>
        <v>3654.3333333333335</v>
      </c>
      <c r="S28" s="4">
        <f>43852/12</f>
        <v>3654.3333333333335</v>
      </c>
      <c r="T28" s="4">
        <f>45168/12</f>
        <v>3764</v>
      </c>
      <c r="U28" s="4">
        <f>45168/12</f>
        <v>3764</v>
      </c>
      <c r="V28" s="4">
        <f>45168/12</f>
        <v>3764</v>
      </c>
      <c r="W28" s="4">
        <f>46523/12</f>
        <v>3876.9166666666665</v>
      </c>
      <c r="X28" s="4">
        <f>46523/12</f>
        <v>3876.9166666666665</v>
      </c>
      <c r="Y28" s="4">
        <f>46523/12</f>
        <v>3876.9166666666665</v>
      </c>
      <c r="Z28" s="4">
        <f>47919/12</f>
        <v>3993.25</v>
      </c>
      <c r="AA28" s="4">
        <f>47919/12</f>
        <v>3993.25</v>
      </c>
      <c r="AB28" s="4">
        <f>48927/12</f>
        <v>4077.25</v>
      </c>
      <c r="AC28" s="5" t="s">
        <v>59</v>
      </c>
    </row>
    <row r="29" spans="1:29" ht="15.5" x14ac:dyDescent="0.35">
      <c r="A29" s="2" t="s">
        <v>61</v>
      </c>
      <c r="B29" s="1" t="s">
        <v>62</v>
      </c>
      <c r="C29" s="4">
        <f>76101/12</f>
        <v>6341.75</v>
      </c>
      <c r="D29" s="4">
        <f>78384/12</f>
        <v>6532</v>
      </c>
      <c r="E29" s="4">
        <f>78384/12</f>
        <v>6532</v>
      </c>
      <c r="F29" s="4">
        <f>80735/12</f>
        <v>6727.916666666667</v>
      </c>
      <c r="G29" s="4">
        <f>80735/12</f>
        <v>6727.916666666667</v>
      </c>
      <c r="H29" s="4">
        <f>83157/12</f>
        <v>6929.75</v>
      </c>
      <c r="I29" s="4">
        <f>83157/12</f>
        <v>6929.75</v>
      </c>
      <c r="J29" s="4">
        <f>85652/12</f>
        <v>7137.666666666667</v>
      </c>
      <c r="K29" s="4">
        <f>85652/12</f>
        <v>7137.666666666667</v>
      </c>
      <c r="L29" s="4">
        <f>85652/12</f>
        <v>7137.666666666667</v>
      </c>
      <c r="M29" s="4">
        <f>93223/12</f>
        <v>7768.583333333333</v>
      </c>
      <c r="N29" s="4">
        <f>93223/12</f>
        <v>7768.583333333333</v>
      </c>
      <c r="O29" s="4">
        <f>96020/12</f>
        <v>8001.666666666667</v>
      </c>
      <c r="P29" s="4">
        <f>96020/12</f>
        <v>8001.666666666667</v>
      </c>
      <c r="Q29" s="4">
        <f>96020/12</f>
        <v>8001.666666666667</v>
      </c>
      <c r="R29" s="4">
        <f>98900/12</f>
        <v>8241.6666666666661</v>
      </c>
      <c r="S29" s="4">
        <f>98900/12</f>
        <v>8241.6666666666661</v>
      </c>
      <c r="T29" s="4">
        <f>101867/12</f>
        <v>8488.9166666666661</v>
      </c>
      <c r="U29" s="4">
        <f>101867/12</f>
        <v>8488.9166666666661</v>
      </c>
      <c r="V29" s="4">
        <f>101867/12</f>
        <v>8488.9166666666661</v>
      </c>
      <c r="W29" s="4">
        <f>104923/12</f>
        <v>8743.5833333333339</v>
      </c>
      <c r="X29" s="4">
        <f>104923/12</f>
        <v>8743.5833333333339</v>
      </c>
      <c r="Y29" s="4">
        <f>104923/12</f>
        <v>8743.5833333333339</v>
      </c>
      <c r="Z29" s="4">
        <f>108071/12</f>
        <v>9005.9166666666661</v>
      </c>
      <c r="AA29" s="4">
        <f>108071/12</f>
        <v>9005.9166666666661</v>
      </c>
      <c r="AB29" s="4">
        <f>110346/12</f>
        <v>9195.5</v>
      </c>
      <c r="AC29" s="5" t="s">
        <v>61</v>
      </c>
    </row>
    <row r="30" spans="1:29" ht="15.5" x14ac:dyDescent="0.35">
      <c r="A30" s="2" t="s">
        <v>63</v>
      </c>
      <c r="B30" s="1" t="s">
        <v>64</v>
      </c>
      <c r="C30" s="4">
        <f>67906/12</f>
        <v>5658.833333333333</v>
      </c>
      <c r="D30" s="4">
        <f>69943/12</f>
        <v>5828.583333333333</v>
      </c>
      <c r="E30" s="4">
        <f>69943/12</f>
        <v>5828.583333333333</v>
      </c>
      <c r="F30" s="4">
        <f>72041/12</f>
        <v>6003.416666666667</v>
      </c>
      <c r="G30" s="4">
        <f>72041/12</f>
        <v>6003.416666666667</v>
      </c>
      <c r="H30" s="4">
        <f>74203/12</f>
        <v>6183.583333333333</v>
      </c>
      <c r="I30" s="4">
        <f>74203/12</f>
        <v>6183.583333333333</v>
      </c>
      <c r="J30" s="4">
        <f>76429/12</f>
        <v>6369.083333333333</v>
      </c>
      <c r="K30" s="4">
        <f>76429/12</f>
        <v>6369.083333333333</v>
      </c>
      <c r="L30" s="4">
        <f>76429/12</f>
        <v>6369.083333333333</v>
      </c>
      <c r="M30" s="4">
        <f>83771/12</f>
        <v>6980.916666666667</v>
      </c>
      <c r="N30" s="4">
        <f>83771/12</f>
        <v>6980.916666666667</v>
      </c>
      <c r="O30" s="4">
        <f>86284/12</f>
        <v>7190.333333333333</v>
      </c>
      <c r="P30" s="4">
        <f>86284/12</f>
        <v>7190.333333333333</v>
      </c>
      <c r="Q30" s="4">
        <f>86284/12</f>
        <v>7190.333333333333</v>
      </c>
      <c r="R30" s="4">
        <f>88873/12</f>
        <v>7406.083333333333</v>
      </c>
      <c r="S30" s="4">
        <f>88873/12</f>
        <v>7406.083333333333</v>
      </c>
      <c r="T30" s="4">
        <f>91539/12</f>
        <v>7628.25</v>
      </c>
      <c r="U30" s="4">
        <f>91539/12</f>
        <v>7628.25</v>
      </c>
      <c r="V30" s="4">
        <f>91539/12</f>
        <v>7628.25</v>
      </c>
      <c r="W30" s="4">
        <f>94285/12</f>
        <v>7857.083333333333</v>
      </c>
      <c r="X30" s="4">
        <f>94285/12</f>
        <v>7857.083333333333</v>
      </c>
      <c r="Y30" s="4">
        <f>94285/12</f>
        <v>7857.083333333333</v>
      </c>
      <c r="Z30" s="4">
        <f>97113/12</f>
        <v>8092.75</v>
      </c>
      <c r="AA30" s="4">
        <f>97113/12</f>
        <v>8092.75</v>
      </c>
      <c r="AB30" s="4">
        <f>99636/12</f>
        <v>8303</v>
      </c>
      <c r="AC30" s="5" t="s">
        <v>63</v>
      </c>
    </row>
    <row r="31" spans="1:29" ht="15.5" x14ac:dyDescent="0.35">
      <c r="A31" s="2" t="s">
        <v>65</v>
      </c>
      <c r="B31" s="1" t="s">
        <v>66</v>
      </c>
      <c r="C31" s="4">
        <f>81354/12</f>
        <v>6779.5</v>
      </c>
      <c r="D31" s="4">
        <f>83794/12</f>
        <v>6982.833333333333</v>
      </c>
      <c r="E31" s="4">
        <f>83794/12</f>
        <v>6982.833333333333</v>
      </c>
      <c r="F31" s="4">
        <f>86308/12</f>
        <v>7192.333333333333</v>
      </c>
      <c r="G31" s="4">
        <f>86308/12</f>
        <v>7192.333333333333</v>
      </c>
      <c r="H31" s="4">
        <f>88897/12</f>
        <v>7408.083333333333</v>
      </c>
      <c r="I31" s="4">
        <f>88897/12</f>
        <v>7408.083333333333</v>
      </c>
      <c r="J31" s="4">
        <f>91564/12</f>
        <v>7630.333333333333</v>
      </c>
      <c r="K31" s="4">
        <f>91564/12</f>
        <v>7630.333333333333</v>
      </c>
      <c r="L31" s="4">
        <f>91564/12</f>
        <v>7630.333333333333</v>
      </c>
      <c r="M31" s="4">
        <f>99687/12</f>
        <v>8307.25</v>
      </c>
      <c r="N31" s="4">
        <f>99687/12</f>
        <v>8307.25</v>
      </c>
      <c r="O31" s="4">
        <f>102677/12</f>
        <v>8556.4166666666661</v>
      </c>
      <c r="P31" s="4">
        <f>102677/12</f>
        <v>8556.4166666666661</v>
      </c>
      <c r="Q31" s="4">
        <f>102677/12</f>
        <v>8556.4166666666661</v>
      </c>
      <c r="R31" s="4">
        <f>105758/12</f>
        <v>8813.1666666666661</v>
      </c>
      <c r="S31" s="4">
        <f>105758/12</f>
        <v>8813.1666666666661</v>
      </c>
      <c r="T31" s="4">
        <f>108930/12</f>
        <v>9077.5</v>
      </c>
      <c r="U31" s="4">
        <f>108930/12</f>
        <v>9077.5</v>
      </c>
      <c r="V31" s="4">
        <f>108930/12</f>
        <v>9077.5</v>
      </c>
      <c r="W31" s="4">
        <f>112198/12</f>
        <v>9349.8333333333339</v>
      </c>
      <c r="X31" s="4">
        <f>112198/12</f>
        <v>9349.8333333333339</v>
      </c>
      <c r="Y31" s="4">
        <f>112198/12</f>
        <v>9349.8333333333339</v>
      </c>
      <c r="Z31" s="4">
        <f>115564/12</f>
        <v>9630.3333333333339</v>
      </c>
      <c r="AA31" s="4">
        <f>115564/12</f>
        <v>9630.3333333333339</v>
      </c>
      <c r="AB31" s="4">
        <f>118020/12</f>
        <v>9835</v>
      </c>
      <c r="AC31" s="5" t="s">
        <v>65</v>
      </c>
    </row>
    <row r="32" spans="1:29" ht="15.5" x14ac:dyDescent="0.35">
      <c r="A32" s="2" t="s">
        <v>67</v>
      </c>
      <c r="B32" s="1" t="s">
        <v>68</v>
      </c>
      <c r="C32" s="4">
        <f>102032/12</f>
        <v>8502.6666666666661</v>
      </c>
      <c r="D32" s="4">
        <f>105093/12</f>
        <v>8757.75</v>
      </c>
      <c r="E32" s="4">
        <f>105093/12</f>
        <v>8757.75</v>
      </c>
      <c r="F32" s="4">
        <f>108246/12</f>
        <v>9020.5</v>
      </c>
      <c r="G32" s="4">
        <f>108246/12</f>
        <v>9020.5</v>
      </c>
      <c r="H32" s="4">
        <f>111493/12</f>
        <v>9291.0833333333339</v>
      </c>
      <c r="I32" s="4">
        <f>111493/12</f>
        <v>9291.0833333333339</v>
      </c>
      <c r="J32" s="4">
        <f>114838/12</f>
        <v>9569.8333333333339</v>
      </c>
      <c r="K32" s="4">
        <f>114838/12</f>
        <v>9569.8333333333339</v>
      </c>
      <c r="L32" s="4">
        <f>114838/12</f>
        <v>9569.8333333333339</v>
      </c>
      <c r="M32" s="4">
        <f>131866/12</f>
        <v>10988.833333333334</v>
      </c>
      <c r="N32" s="4">
        <f>131866/12</f>
        <v>10988.833333333334</v>
      </c>
      <c r="O32" s="4">
        <f>135822/12</f>
        <v>11318.5</v>
      </c>
      <c r="P32" s="4">
        <f>135822/12</f>
        <v>11318.5</v>
      </c>
      <c r="Q32" s="4">
        <f>135822/12</f>
        <v>11318.5</v>
      </c>
      <c r="R32" s="4">
        <f>139897/12</f>
        <v>11658.083333333334</v>
      </c>
      <c r="S32" s="4">
        <f>139897/12</f>
        <v>11658.083333333334</v>
      </c>
      <c r="T32" s="4">
        <f>144093/12</f>
        <v>12007.75</v>
      </c>
      <c r="U32" s="4">
        <f>144093/12</f>
        <v>12007.75</v>
      </c>
      <c r="V32" s="4">
        <f>144093/12</f>
        <v>12007.75</v>
      </c>
      <c r="W32" s="4">
        <f>148416/12</f>
        <v>12368</v>
      </c>
      <c r="X32" s="4">
        <f>148416/12</f>
        <v>12368</v>
      </c>
      <c r="Y32" s="4">
        <f>148416/12</f>
        <v>12368</v>
      </c>
      <c r="Z32" s="4">
        <f>152869/12</f>
        <v>12739.083333333334</v>
      </c>
      <c r="AA32" s="4">
        <f>152869/12</f>
        <v>12739.083333333334</v>
      </c>
      <c r="AB32" s="4">
        <f>161700/12</f>
        <v>13475</v>
      </c>
      <c r="AC32" s="5" t="s">
        <v>67</v>
      </c>
    </row>
    <row r="33" spans="1:29" ht="15.5" x14ac:dyDescent="0.35">
      <c r="A33" s="2" t="s">
        <v>69</v>
      </c>
      <c r="B33" s="1" t="s">
        <v>70</v>
      </c>
      <c r="C33" s="4">
        <f>45398/12</f>
        <v>3783.1666666666665</v>
      </c>
      <c r="D33" s="4">
        <f>46760/12</f>
        <v>3896.6666666666665</v>
      </c>
      <c r="E33" s="4">
        <f>46760/12</f>
        <v>3896.6666666666665</v>
      </c>
      <c r="F33" s="4">
        <f>48163/12</f>
        <v>4013.5833333333335</v>
      </c>
      <c r="G33" s="4">
        <f>48163/12</f>
        <v>4013.5833333333335</v>
      </c>
      <c r="H33" s="4">
        <f>49608/12</f>
        <v>4134</v>
      </c>
      <c r="I33" s="4">
        <f>49608/12</f>
        <v>4134</v>
      </c>
      <c r="J33" s="4">
        <f>51096/12</f>
        <v>4258</v>
      </c>
      <c r="K33" s="4">
        <f>51096/12</f>
        <v>4258</v>
      </c>
      <c r="L33" s="4">
        <f>51096/12</f>
        <v>4258</v>
      </c>
      <c r="M33" s="4">
        <f>55613/12</f>
        <v>4634.416666666667</v>
      </c>
      <c r="N33" s="4">
        <f>55613/12</f>
        <v>4634.416666666667</v>
      </c>
      <c r="O33" s="4">
        <f>57281/12</f>
        <v>4773.416666666667</v>
      </c>
      <c r="P33" s="4">
        <f>57281/12</f>
        <v>4773.416666666667</v>
      </c>
      <c r="Q33" s="4">
        <f>57281/12</f>
        <v>4773.416666666667</v>
      </c>
      <c r="R33" s="4">
        <f>59000/12</f>
        <v>4916.666666666667</v>
      </c>
      <c r="S33" s="4">
        <f>59000/12</f>
        <v>4916.666666666667</v>
      </c>
      <c r="T33" s="4">
        <f>60770/12</f>
        <v>5064.166666666667</v>
      </c>
      <c r="U33" s="4">
        <f>60770/12</f>
        <v>5064.166666666667</v>
      </c>
      <c r="V33" s="4">
        <f>60770/12</f>
        <v>5064.166666666667</v>
      </c>
      <c r="W33" s="4">
        <f>62593/12</f>
        <v>5216.083333333333</v>
      </c>
      <c r="X33" s="4">
        <f>62593/12</f>
        <v>5216.083333333333</v>
      </c>
      <c r="Y33" s="4">
        <f>62593/12</f>
        <v>5216.083333333333</v>
      </c>
      <c r="Z33" s="4">
        <f>64471/12</f>
        <v>5372.583333333333</v>
      </c>
      <c r="AA33" s="4">
        <f>64471/12</f>
        <v>5372.583333333333</v>
      </c>
      <c r="AB33" s="4">
        <f>65828/12</f>
        <v>5485.666666666667</v>
      </c>
      <c r="AC33" s="5" t="s">
        <v>69</v>
      </c>
    </row>
    <row r="34" spans="1:29" ht="15.5" x14ac:dyDescent="0.35">
      <c r="A34" s="2" t="s">
        <v>71</v>
      </c>
      <c r="B34" s="1" t="s">
        <v>72</v>
      </c>
      <c r="C34" s="4">
        <f>52196/12</f>
        <v>4349.666666666667</v>
      </c>
      <c r="D34" s="4">
        <f>53762/12</f>
        <v>4480.166666666667</v>
      </c>
      <c r="E34" s="4">
        <f>53762/12</f>
        <v>4480.166666666667</v>
      </c>
      <c r="F34" s="4">
        <f>55375/12</f>
        <v>4614.583333333333</v>
      </c>
      <c r="G34" s="4">
        <f>55375/12</f>
        <v>4614.583333333333</v>
      </c>
      <c r="H34" s="4">
        <f>57036/12</f>
        <v>4753</v>
      </c>
      <c r="I34" s="4">
        <f>57036/12</f>
        <v>4753</v>
      </c>
      <c r="J34" s="4">
        <f>58747/12</f>
        <v>4895.583333333333</v>
      </c>
      <c r="K34" s="4">
        <f>58747/12</f>
        <v>4895.583333333333</v>
      </c>
      <c r="L34" s="4">
        <f>58747/12</f>
        <v>4895.583333333333</v>
      </c>
      <c r="M34" s="4">
        <f>63940/12</f>
        <v>5328.333333333333</v>
      </c>
      <c r="N34" s="4">
        <f>63940/12</f>
        <v>5328.333333333333</v>
      </c>
      <c r="O34" s="4">
        <f>65859/12</f>
        <v>5488.25</v>
      </c>
      <c r="P34" s="4">
        <f>65859/12</f>
        <v>5488.25</v>
      </c>
      <c r="Q34" s="4">
        <f>65859/12</f>
        <v>5488.25</v>
      </c>
      <c r="R34" s="4">
        <f>67834/12</f>
        <v>5652.833333333333</v>
      </c>
      <c r="S34" s="4">
        <f>67834/12</f>
        <v>5652.833333333333</v>
      </c>
      <c r="T34" s="4">
        <f>69869/12</f>
        <v>5822.416666666667</v>
      </c>
      <c r="U34" s="4">
        <f>69869/12</f>
        <v>5822.416666666667</v>
      </c>
      <c r="V34" s="4">
        <f>69869/12</f>
        <v>5822.416666666667</v>
      </c>
      <c r="W34" s="4">
        <f>71966/12</f>
        <v>5997.166666666667</v>
      </c>
      <c r="X34" s="4">
        <f>71966/12</f>
        <v>5997.166666666667</v>
      </c>
      <c r="Y34" s="4">
        <f>71966/12</f>
        <v>5997.166666666667</v>
      </c>
      <c r="Z34" s="4">
        <f>74124/12</f>
        <v>6177</v>
      </c>
      <c r="AA34" s="4">
        <f>74124/12</f>
        <v>6177</v>
      </c>
      <c r="AB34" s="4">
        <f>75685/12</f>
        <v>6307.083333333333</v>
      </c>
      <c r="AC34" s="5" t="s">
        <v>71</v>
      </c>
    </row>
    <row r="35" spans="1:29" ht="15.5" x14ac:dyDescent="0.35">
      <c r="A35" s="2" t="s">
        <v>73</v>
      </c>
      <c r="B35" s="1" t="s">
        <v>74</v>
      </c>
      <c r="C35" s="4">
        <f>65236/12</f>
        <v>5436.333333333333</v>
      </c>
      <c r="D35" s="4">
        <f>67193/12</f>
        <v>5599.416666666667</v>
      </c>
      <c r="E35" s="4">
        <f>67193/12</f>
        <v>5599.416666666667</v>
      </c>
      <c r="F35" s="4">
        <f>69209/12</f>
        <v>5767.416666666667</v>
      </c>
      <c r="G35" s="4">
        <f>69209/12</f>
        <v>5767.416666666667</v>
      </c>
      <c r="H35" s="4">
        <f>71285/12</f>
        <v>5940.416666666667</v>
      </c>
      <c r="I35" s="4">
        <f>71285/12</f>
        <v>5940.416666666667</v>
      </c>
      <c r="J35" s="4">
        <f>73424/12</f>
        <v>6118.666666666667</v>
      </c>
      <c r="K35" s="4">
        <f>73424/12</f>
        <v>6118.666666666667</v>
      </c>
      <c r="L35" s="4">
        <f>73424/12</f>
        <v>6118.666666666667</v>
      </c>
      <c r="M35" s="4">
        <f>79914/12</f>
        <v>6659.5</v>
      </c>
      <c r="N35" s="4">
        <f>79914/12</f>
        <v>6659.5</v>
      </c>
      <c r="O35" s="4">
        <f>82312/12</f>
        <v>6859.333333333333</v>
      </c>
      <c r="P35" s="4">
        <f>82312/12</f>
        <v>6859.333333333333</v>
      </c>
      <c r="Q35" s="4">
        <f>82312/12</f>
        <v>6859.333333333333</v>
      </c>
      <c r="R35" s="4">
        <f>84781/12</f>
        <v>7065.083333333333</v>
      </c>
      <c r="S35" s="4">
        <f>84781/12</f>
        <v>7065.083333333333</v>
      </c>
      <c r="T35" s="4">
        <f>87324/12</f>
        <v>7277</v>
      </c>
      <c r="U35" s="4">
        <f>87324/12</f>
        <v>7277</v>
      </c>
      <c r="V35" s="4">
        <f>87324/12</f>
        <v>7277</v>
      </c>
      <c r="W35" s="4">
        <f>89944/12</f>
        <v>7495.333333333333</v>
      </c>
      <c r="X35" s="4">
        <f>89944/12</f>
        <v>7495.333333333333</v>
      </c>
      <c r="Y35" s="4">
        <f>89944/12</f>
        <v>7495.333333333333</v>
      </c>
      <c r="Z35" s="4">
        <f>92642/12</f>
        <v>7720.166666666667</v>
      </c>
      <c r="AA35" s="4">
        <f>92642/12</f>
        <v>7720.166666666667</v>
      </c>
      <c r="AB35" s="4">
        <f>94592/12</f>
        <v>7882.666666666667</v>
      </c>
      <c r="AC35" s="5" t="s">
        <v>73</v>
      </c>
    </row>
    <row r="36" spans="1:29" ht="15.5" x14ac:dyDescent="0.35">
      <c r="A36" s="2" t="s">
        <v>75</v>
      </c>
      <c r="B36" s="1" t="s">
        <v>76</v>
      </c>
      <c r="C36" s="4">
        <f>70909/12</f>
        <v>5909.083333333333</v>
      </c>
      <c r="D36" s="4">
        <f>73037/12</f>
        <v>6086.416666666667</v>
      </c>
      <c r="E36" s="4">
        <f>73037/12</f>
        <v>6086.416666666667</v>
      </c>
      <c r="F36" s="4">
        <f>75228/12</f>
        <v>6269</v>
      </c>
      <c r="G36" s="4">
        <f>75228/12</f>
        <v>6269</v>
      </c>
      <c r="H36" s="4">
        <f>77485/12</f>
        <v>6457.083333333333</v>
      </c>
      <c r="I36" s="4">
        <f>77485/12</f>
        <v>6457.083333333333</v>
      </c>
      <c r="J36" s="4">
        <f>79809/12</f>
        <v>6650.75</v>
      </c>
      <c r="K36" s="4">
        <f>79809/12</f>
        <v>6650.75</v>
      </c>
      <c r="L36" s="4">
        <f>79809/12</f>
        <v>6650.75</v>
      </c>
      <c r="M36" s="4">
        <f>86864/12</f>
        <v>7238.666666666667</v>
      </c>
      <c r="N36" s="4">
        <f>86864/12</f>
        <v>7238.666666666667</v>
      </c>
      <c r="O36" s="4">
        <f>89470/12</f>
        <v>7455.833333333333</v>
      </c>
      <c r="P36" s="4">
        <f>89470/12</f>
        <v>7455.833333333333</v>
      </c>
      <c r="Q36" s="4">
        <f>89470/12</f>
        <v>7455.833333333333</v>
      </c>
      <c r="R36" s="4">
        <f>92154/12</f>
        <v>7679.5</v>
      </c>
      <c r="S36" s="4">
        <f>92154/12</f>
        <v>7679.5</v>
      </c>
      <c r="T36" s="4">
        <f>94919/12</f>
        <v>7909.916666666667</v>
      </c>
      <c r="U36" s="4">
        <f>94919/12</f>
        <v>7909.916666666667</v>
      </c>
      <c r="V36" s="4">
        <f>94919/12</f>
        <v>7909.916666666667</v>
      </c>
      <c r="W36" s="4">
        <f>97766/12</f>
        <v>8147.166666666667</v>
      </c>
      <c r="X36" s="4">
        <f>97766/12</f>
        <v>8147.166666666667</v>
      </c>
      <c r="Y36" s="4">
        <f>97766/12</f>
        <v>8147.166666666667</v>
      </c>
      <c r="Z36" s="4">
        <f>100699/12</f>
        <v>8391.5833333333339</v>
      </c>
      <c r="AA36" s="4">
        <f>100699/12</f>
        <v>8391.5833333333339</v>
      </c>
      <c r="AB36" s="4">
        <f>102819/12</f>
        <v>8568.25</v>
      </c>
      <c r="AC36" s="5" t="s">
        <v>75</v>
      </c>
    </row>
    <row r="37" spans="1:29" ht="15.5" x14ac:dyDescent="0.35">
      <c r="A37" s="2" t="s">
        <v>77</v>
      </c>
      <c r="B37" s="1" t="s">
        <v>78</v>
      </c>
      <c r="C37" s="4">
        <f>78325/12</f>
        <v>6527.083333333333</v>
      </c>
      <c r="D37" s="4">
        <f>80675/12</f>
        <v>6722.916666666667</v>
      </c>
      <c r="E37" s="4">
        <f>80675/12</f>
        <v>6722.916666666667</v>
      </c>
      <c r="F37" s="4">
        <f>83095/12</f>
        <v>6924.583333333333</v>
      </c>
      <c r="G37" s="4">
        <f>83095/12</f>
        <v>6924.583333333333</v>
      </c>
      <c r="H37" s="4">
        <f>85588/12</f>
        <v>7132.333333333333</v>
      </c>
      <c r="I37" s="4">
        <f>85588/12</f>
        <v>7132.333333333333</v>
      </c>
      <c r="J37" s="4">
        <f>88156/12</f>
        <v>7346.333333333333</v>
      </c>
      <c r="K37" s="4">
        <f>88156/12</f>
        <v>7346.333333333333</v>
      </c>
      <c r="L37" s="4">
        <f>88156/12</f>
        <v>7346.333333333333</v>
      </c>
      <c r="M37" s="4">
        <f>95949/12</f>
        <v>7995.75</v>
      </c>
      <c r="N37" s="4">
        <f>95949/12</f>
        <v>7995.75</v>
      </c>
      <c r="O37" s="4">
        <f>98827/12</f>
        <v>8235.5833333333339</v>
      </c>
      <c r="P37" s="4">
        <f>98827/12</f>
        <v>8235.5833333333339</v>
      </c>
      <c r="Q37" s="4">
        <f>98827/12</f>
        <v>8235.5833333333339</v>
      </c>
      <c r="R37" s="4">
        <f>101792/12</f>
        <v>8482.6666666666661</v>
      </c>
      <c r="S37" s="4">
        <f>101792/12</f>
        <v>8482.6666666666661</v>
      </c>
      <c r="T37" s="4">
        <f>104846/12</f>
        <v>8737.1666666666661</v>
      </c>
      <c r="U37" s="4">
        <f>104846/12</f>
        <v>8737.1666666666661</v>
      </c>
      <c r="V37" s="4">
        <f>104846/12</f>
        <v>8737.1666666666661</v>
      </c>
      <c r="W37" s="4">
        <f>107991/12</f>
        <v>8999.25</v>
      </c>
      <c r="X37" s="4">
        <f>107991/12</f>
        <v>8999.25</v>
      </c>
      <c r="Y37" s="4">
        <f>107991/12</f>
        <v>8999.25</v>
      </c>
      <c r="Z37" s="4">
        <f>111231/12</f>
        <v>9269.25</v>
      </c>
      <c r="AA37" s="4">
        <f>111231/12</f>
        <v>9269.25</v>
      </c>
      <c r="AB37" s="4">
        <f>113572/12</f>
        <v>9464.3333333333339</v>
      </c>
      <c r="AC37" s="5" t="s">
        <v>77</v>
      </c>
    </row>
    <row r="38" spans="1:29" ht="15.5" x14ac:dyDescent="0.35">
      <c r="A38" s="2" t="s">
        <v>79</v>
      </c>
      <c r="B38" s="1" t="s">
        <v>80</v>
      </c>
      <c r="C38" s="4">
        <f>89536/12</f>
        <v>7461.333333333333</v>
      </c>
      <c r="D38" s="4">
        <f>92222/12</f>
        <v>7685.166666666667</v>
      </c>
      <c r="E38" s="4">
        <f>92222/12</f>
        <v>7685.166666666667</v>
      </c>
      <c r="F38" s="4">
        <f>94989/12</f>
        <v>7915.75</v>
      </c>
      <c r="G38" s="4">
        <f>94989/12</f>
        <v>7915.75</v>
      </c>
      <c r="H38" s="4">
        <f>97838/12</f>
        <v>8153.166666666667</v>
      </c>
      <c r="I38" s="4">
        <f>97838/12</f>
        <v>8153.166666666667</v>
      </c>
      <c r="J38" s="4">
        <f>100773/12</f>
        <v>8397.75</v>
      </c>
      <c r="K38" s="4">
        <f>100773/12</f>
        <v>8397.75</v>
      </c>
      <c r="L38" s="4">
        <f>100773/12</f>
        <v>8397.75</v>
      </c>
      <c r="M38" s="4">
        <f>109681/12</f>
        <v>9140.0833333333339</v>
      </c>
      <c r="N38" s="4">
        <f>109681/12</f>
        <v>9140.0833333333339</v>
      </c>
      <c r="O38" s="4">
        <f>112972/12</f>
        <v>9414.3333333333339</v>
      </c>
      <c r="P38" s="4">
        <f>112972/12</f>
        <v>9414.3333333333339</v>
      </c>
      <c r="Q38" s="4">
        <f>112972/12</f>
        <v>9414.3333333333339</v>
      </c>
      <c r="R38" s="4">
        <f>116361/12</f>
        <v>9696.75</v>
      </c>
      <c r="S38" s="4">
        <f>116361/12</f>
        <v>9696.75</v>
      </c>
      <c r="T38" s="4">
        <f>119852/12</f>
        <v>9987.6666666666661</v>
      </c>
      <c r="U38" s="4">
        <f>119852/12</f>
        <v>9987.6666666666661</v>
      </c>
      <c r="V38" s="4">
        <f>119852/12</f>
        <v>9987.6666666666661</v>
      </c>
      <c r="W38" s="4">
        <f>123447/12</f>
        <v>10287.25</v>
      </c>
      <c r="X38" s="4">
        <f>123447/12</f>
        <v>10287.25</v>
      </c>
      <c r="Y38" s="4">
        <f>123447/12</f>
        <v>10287.25</v>
      </c>
      <c r="Z38" s="4">
        <f>127151/12</f>
        <v>10595.916666666666</v>
      </c>
      <c r="AA38" s="4">
        <f>127151/12</f>
        <v>10595.916666666666</v>
      </c>
      <c r="AB38" s="4">
        <f>129827/12</f>
        <v>10818.916666666666</v>
      </c>
      <c r="AC38" s="5" t="s">
        <v>79</v>
      </c>
    </row>
    <row r="39" spans="1:29" ht="15.5" x14ac:dyDescent="0.35">
      <c r="A39" s="2" t="s">
        <v>81</v>
      </c>
      <c r="B39" s="1" t="s">
        <v>82</v>
      </c>
      <c r="C39" s="4">
        <f>92181/12</f>
        <v>7681.75</v>
      </c>
      <c r="D39" s="4">
        <f>94946/12</f>
        <v>7912.166666666667</v>
      </c>
      <c r="E39" s="4">
        <f>94946/12</f>
        <v>7912.166666666667</v>
      </c>
      <c r="F39" s="4">
        <f>97795/12</f>
        <v>8149.583333333333</v>
      </c>
      <c r="G39" s="4">
        <f>97795/12</f>
        <v>8149.583333333333</v>
      </c>
      <c r="H39" s="4">
        <f>100729/12</f>
        <v>8394.0833333333339</v>
      </c>
      <c r="I39" s="4">
        <f>100729/12</f>
        <v>8394.0833333333339</v>
      </c>
      <c r="J39" s="4">
        <f>103750/12</f>
        <v>8645.8333333333339</v>
      </c>
      <c r="K39" s="4">
        <f>103750/12</f>
        <v>8645.8333333333339</v>
      </c>
      <c r="L39" s="4">
        <f>103750/12</f>
        <v>8645.8333333333339</v>
      </c>
      <c r="M39" s="4">
        <f>112922/12</f>
        <v>9410.1666666666661</v>
      </c>
      <c r="N39" s="4">
        <f>112922/12</f>
        <v>9410.1666666666661</v>
      </c>
      <c r="O39" s="4">
        <f>116309/12</f>
        <v>9692.4166666666661</v>
      </c>
      <c r="P39" s="4">
        <f>116309/12</f>
        <v>9692.4166666666661</v>
      </c>
      <c r="Q39" s="4">
        <f>116309/12</f>
        <v>9692.4166666666661</v>
      </c>
      <c r="R39" s="4">
        <f>119799/12</f>
        <v>9983.25</v>
      </c>
      <c r="S39" s="4">
        <f>119799/12</f>
        <v>9983.25</v>
      </c>
      <c r="T39" s="4">
        <f>123392/12</f>
        <v>10282.666666666666</v>
      </c>
      <c r="U39" s="4">
        <f>123392/12</f>
        <v>10282.666666666666</v>
      </c>
      <c r="V39" s="4">
        <f>123392/12</f>
        <v>10282.666666666666</v>
      </c>
      <c r="W39" s="4">
        <f>127094/12</f>
        <v>10591.166666666666</v>
      </c>
      <c r="X39" s="4">
        <f>127094/12</f>
        <v>10591.166666666666</v>
      </c>
      <c r="Y39" s="4">
        <f>127094/12</f>
        <v>10591.166666666666</v>
      </c>
      <c r="Z39" s="4">
        <f>130907/12</f>
        <v>10908.916666666666</v>
      </c>
      <c r="AA39" s="4">
        <f>130907/12</f>
        <v>10908.916666666666</v>
      </c>
      <c r="AB39" s="4">
        <f>133662/12</f>
        <v>11138.5</v>
      </c>
      <c r="AC39" s="5" t="s">
        <v>81</v>
      </c>
    </row>
    <row r="40" spans="1:29" ht="15.5" x14ac:dyDescent="0.35">
      <c r="A40" s="2" t="s">
        <v>83</v>
      </c>
      <c r="B40" s="1" t="s">
        <v>84</v>
      </c>
      <c r="C40" s="4">
        <f>44002/12</f>
        <v>3666.8333333333335</v>
      </c>
      <c r="D40" s="4">
        <f>45322/12</f>
        <v>3776.8333333333335</v>
      </c>
      <c r="E40" s="4">
        <f>45322/12</f>
        <v>3776.8333333333335</v>
      </c>
      <c r="F40" s="4">
        <f>46681/12</f>
        <v>3890.0833333333335</v>
      </c>
      <c r="G40" s="4">
        <f>46681/12</f>
        <v>3890.0833333333335</v>
      </c>
      <c r="H40" s="4">
        <f>48082/12</f>
        <v>4006.8333333333335</v>
      </c>
      <c r="I40" s="4">
        <f>48082/12</f>
        <v>4006.8333333333335</v>
      </c>
      <c r="J40" s="4">
        <f>49524/12</f>
        <v>4127</v>
      </c>
      <c r="K40" s="4">
        <f>49524/12</f>
        <v>4127</v>
      </c>
      <c r="L40" s="4">
        <f>49524/12</f>
        <v>4127</v>
      </c>
      <c r="M40" s="4">
        <f>53902/12</f>
        <v>4491.833333333333</v>
      </c>
      <c r="N40" s="4">
        <f>53902/12</f>
        <v>4491.833333333333</v>
      </c>
      <c r="O40" s="4">
        <f>55519/12</f>
        <v>4626.583333333333</v>
      </c>
      <c r="P40" s="4">
        <f>55519/12</f>
        <v>4626.583333333333</v>
      </c>
      <c r="Q40" s="4">
        <f>55519/12</f>
        <v>4626.583333333333</v>
      </c>
      <c r="R40" s="4">
        <f>57185/12</f>
        <v>4765.416666666667</v>
      </c>
      <c r="S40" s="4">
        <f>57185/12</f>
        <v>4765.416666666667</v>
      </c>
      <c r="T40" s="4">
        <f>58900/12</f>
        <v>4908.333333333333</v>
      </c>
      <c r="U40" s="4">
        <f>58900/12</f>
        <v>4908.333333333333</v>
      </c>
      <c r="V40" s="4">
        <f>58900/12</f>
        <v>4908.333333333333</v>
      </c>
      <c r="W40" s="4">
        <f>60667/12</f>
        <v>5055.583333333333</v>
      </c>
      <c r="X40" s="4">
        <f>60667/12</f>
        <v>5055.583333333333</v>
      </c>
      <c r="Y40" s="4">
        <f>60667/12</f>
        <v>5055.583333333333</v>
      </c>
      <c r="Z40" s="4">
        <f>62487/12</f>
        <v>5207.25</v>
      </c>
      <c r="AA40" s="4">
        <f>62487/12</f>
        <v>5207.25</v>
      </c>
      <c r="AB40" s="4">
        <f>63802/12</f>
        <v>5316.833333333333</v>
      </c>
      <c r="AC40" s="5" t="s">
        <v>85</v>
      </c>
    </row>
    <row r="41" spans="1:29" ht="15.5" x14ac:dyDescent="0.35">
      <c r="A41" s="2" t="s">
        <v>86</v>
      </c>
      <c r="B41" s="1" t="s">
        <v>87</v>
      </c>
      <c r="C41" s="4">
        <f>110424/12</f>
        <v>9202</v>
      </c>
      <c r="D41" s="4">
        <f>113737/12</f>
        <v>9478.0833333333339</v>
      </c>
      <c r="E41" s="4">
        <f>113737/12</f>
        <v>9478.0833333333339</v>
      </c>
      <c r="F41" s="4">
        <f>117149/12</f>
        <v>9762.4166666666661</v>
      </c>
      <c r="G41" s="4">
        <f>117149/12</f>
        <v>9762.4166666666661</v>
      </c>
      <c r="H41" s="4">
        <f>120664/12</f>
        <v>10055.333333333334</v>
      </c>
      <c r="I41" s="4">
        <f>120664/12</f>
        <v>10055.333333333334</v>
      </c>
      <c r="J41" s="4">
        <f>124283/12</f>
        <v>10356.916666666666</v>
      </c>
      <c r="K41" s="4">
        <f>124283/12</f>
        <v>10356.916666666666</v>
      </c>
      <c r="L41" s="4">
        <f>124283/12</f>
        <v>10356.916666666666</v>
      </c>
      <c r="M41" s="4">
        <f>135270/12</f>
        <v>11272.5</v>
      </c>
      <c r="N41" s="4">
        <f>135270/12</f>
        <v>11272.5</v>
      </c>
      <c r="O41" s="4">
        <f>139328/12</f>
        <v>11610.666666666666</v>
      </c>
      <c r="P41" s="4">
        <f>139328/12</f>
        <v>11610.666666666666</v>
      </c>
      <c r="Q41" s="4">
        <f>139328/12</f>
        <v>11610.666666666666</v>
      </c>
      <c r="R41" s="4">
        <f>143508/12</f>
        <v>11959</v>
      </c>
      <c r="S41" s="4">
        <f>143508/12</f>
        <v>11959</v>
      </c>
      <c r="T41" s="4">
        <f>147813/12</f>
        <v>12317.75</v>
      </c>
      <c r="U41" s="4">
        <f>147813/12</f>
        <v>12317.75</v>
      </c>
      <c r="V41" s="4">
        <f>147813/12</f>
        <v>12317.75</v>
      </c>
      <c r="W41" s="4">
        <f>152247/12</f>
        <v>12687.25</v>
      </c>
      <c r="X41" s="4">
        <f>152247/12</f>
        <v>12687.25</v>
      </c>
      <c r="Y41" s="4">
        <f>152247/12</f>
        <v>12687.25</v>
      </c>
      <c r="Z41" s="4">
        <f>156815/12</f>
        <v>13067.916666666666</v>
      </c>
      <c r="AA41" s="4">
        <f>156815/12</f>
        <v>13067.916666666666</v>
      </c>
      <c r="AB41" s="4">
        <f>160115/12</f>
        <v>13342.916666666666</v>
      </c>
      <c r="AC41" s="5" t="s">
        <v>86</v>
      </c>
    </row>
    <row r="42" spans="1:29" ht="15.5" x14ac:dyDescent="0.35">
      <c r="A42" s="2" t="s">
        <v>88</v>
      </c>
      <c r="B42" s="1" t="s">
        <v>89</v>
      </c>
      <c r="C42" s="4">
        <f>97633/12</f>
        <v>8136.083333333333</v>
      </c>
      <c r="D42" s="4">
        <f>100562/12</f>
        <v>8380.1666666666661</v>
      </c>
      <c r="E42" s="4">
        <f>100562/12</f>
        <v>8380.1666666666661</v>
      </c>
      <c r="F42" s="4">
        <f>103578/12</f>
        <v>8631.5</v>
      </c>
      <c r="G42" s="4">
        <f>103578/12</f>
        <v>8631.5</v>
      </c>
      <c r="H42" s="4">
        <f>106686/12</f>
        <v>8890.5</v>
      </c>
      <c r="I42" s="4">
        <f>106686/12</f>
        <v>8890.5</v>
      </c>
      <c r="J42" s="4">
        <f>109886/12</f>
        <v>9157.1666666666661</v>
      </c>
      <c r="K42" s="4">
        <f>109886/12</f>
        <v>9157.1666666666661</v>
      </c>
      <c r="L42" s="4">
        <f>109886/12</f>
        <v>9157.1666666666661</v>
      </c>
      <c r="M42" s="4">
        <f>119908/12</f>
        <v>9992.3333333333339</v>
      </c>
      <c r="N42" s="4">
        <f>119908/12</f>
        <v>9992.3333333333339</v>
      </c>
      <c r="O42" s="4">
        <f>123505/12</f>
        <v>10292.083333333334</v>
      </c>
      <c r="P42" s="4">
        <f>123505/12</f>
        <v>10292.083333333334</v>
      </c>
      <c r="Q42" s="4">
        <f>123505/12</f>
        <v>10292.083333333334</v>
      </c>
      <c r="R42" s="4">
        <f>127210/12</f>
        <v>10600.833333333334</v>
      </c>
      <c r="S42" s="4">
        <f>127210/12</f>
        <v>10600.833333333334</v>
      </c>
      <c r="T42" s="4">
        <f>131027/12</f>
        <v>10918.916666666666</v>
      </c>
      <c r="U42" s="4">
        <f>131027/12</f>
        <v>10918.916666666666</v>
      </c>
      <c r="V42" s="4">
        <f>131027/12</f>
        <v>10918.916666666666</v>
      </c>
      <c r="W42" s="4">
        <f>134957/12</f>
        <v>11246.416666666666</v>
      </c>
      <c r="X42" s="4">
        <f>134957/12</f>
        <v>11246.416666666666</v>
      </c>
      <c r="Y42" s="4">
        <f>134957/12</f>
        <v>11246.416666666666</v>
      </c>
      <c r="Z42" s="4">
        <f>139006/12</f>
        <v>11583.833333333334</v>
      </c>
      <c r="AA42" s="4">
        <f>139006/12</f>
        <v>11583.833333333334</v>
      </c>
      <c r="AB42" s="4">
        <f>142183/12</f>
        <v>11848.583333333334</v>
      </c>
      <c r="AC42" s="5" t="s">
        <v>90</v>
      </c>
    </row>
    <row r="43" spans="1:29" ht="15.5" x14ac:dyDescent="0.35">
      <c r="A43" s="2" t="s">
        <v>91</v>
      </c>
      <c r="B43" s="1" t="s">
        <v>92</v>
      </c>
      <c r="C43" s="4">
        <f>124156/12</f>
        <v>10346.333333333334</v>
      </c>
      <c r="D43" s="4">
        <f>127881/12</f>
        <v>10656.75</v>
      </c>
      <c r="E43" s="4">
        <f>127881/12</f>
        <v>10656.75</v>
      </c>
      <c r="F43" s="4">
        <f>131717/12</f>
        <v>10976.416666666666</v>
      </c>
      <c r="G43" s="4">
        <f>131717/12</f>
        <v>10976.416666666666</v>
      </c>
      <c r="H43" s="4">
        <f>135669/12</f>
        <v>11305.75</v>
      </c>
      <c r="I43" s="4">
        <f>135669/12</f>
        <v>11305.75</v>
      </c>
      <c r="J43" s="4">
        <f>139739/12</f>
        <v>11644.916666666666</v>
      </c>
      <c r="K43" s="4">
        <f>139739/12</f>
        <v>11644.916666666666</v>
      </c>
      <c r="L43" s="4">
        <f>139739/12</f>
        <v>11644.916666666666</v>
      </c>
      <c r="M43" s="4">
        <f>152091/12</f>
        <v>12674.25</v>
      </c>
      <c r="N43" s="4">
        <f>152091/12</f>
        <v>12674.25</v>
      </c>
      <c r="O43" s="4">
        <f>156654/12</f>
        <v>13054.5</v>
      </c>
      <c r="P43" s="4">
        <f>156654/12</f>
        <v>13054.5</v>
      </c>
      <c r="Q43" s="4">
        <f>156654/12</f>
        <v>13054.5</v>
      </c>
      <c r="R43" s="4">
        <f>161354/12</f>
        <v>13446.166666666666</v>
      </c>
      <c r="S43" s="4">
        <f>161354/12</f>
        <v>13446.166666666666</v>
      </c>
      <c r="T43" s="4">
        <f>166194/12</f>
        <v>13849.5</v>
      </c>
      <c r="U43" s="4">
        <f>166194/12</f>
        <v>13849.5</v>
      </c>
      <c r="V43" s="4">
        <f>166194/12</f>
        <v>13849.5</v>
      </c>
      <c r="W43" s="4">
        <f>171180/12</f>
        <v>14265</v>
      </c>
      <c r="X43" s="4">
        <f>171180/12</f>
        <v>14265</v>
      </c>
      <c r="Y43" s="4">
        <f>171180/12</f>
        <v>14265</v>
      </c>
      <c r="Z43" s="4">
        <f>176316/12</f>
        <v>14693</v>
      </c>
      <c r="AA43" s="4">
        <f>176316/12</f>
        <v>14693</v>
      </c>
      <c r="AB43" s="4">
        <f>180026/12</f>
        <v>15002.166666666666</v>
      </c>
      <c r="AC43" s="5" t="s">
        <v>91</v>
      </c>
    </row>
    <row r="44" spans="1:29" ht="15.5" x14ac:dyDescent="0.35">
      <c r="A44" s="2" t="s">
        <v>93</v>
      </c>
      <c r="B44" s="1" t="s">
        <v>94</v>
      </c>
      <c r="C44" s="4">
        <f>78016/12</f>
        <v>6501.333333333333</v>
      </c>
      <c r="D44" s="4">
        <f>80357/12</f>
        <v>6696.416666666667</v>
      </c>
      <c r="E44" s="4">
        <f>80357/12</f>
        <v>6696.416666666667</v>
      </c>
      <c r="F44" s="4">
        <f>82768/12</f>
        <v>6897.333333333333</v>
      </c>
      <c r="G44" s="4">
        <f>82768/12</f>
        <v>6897.333333333333</v>
      </c>
      <c r="H44" s="4">
        <f>85251/12</f>
        <v>7104.25</v>
      </c>
      <c r="I44" s="4">
        <f>85251/12</f>
        <v>7104.25</v>
      </c>
      <c r="J44" s="4">
        <f>87808/12</f>
        <v>7317.333333333333</v>
      </c>
      <c r="K44" s="4">
        <f>87808/12</f>
        <v>7317.333333333333</v>
      </c>
      <c r="L44" s="4">
        <f>87808/12</f>
        <v>7317.333333333333</v>
      </c>
      <c r="M44" s="4">
        <f>95570/12</f>
        <v>7964.166666666667</v>
      </c>
      <c r="N44" s="4">
        <f>95570/12</f>
        <v>7964.166666666667</v>
      </c>
      <c r="O44" s="4">
        <f>98437/12</f>
        <v>8203.0833333333339</v>
      </c>
      <c r="P44" s="4">
        <f>98437/12</f>
        <v>8203.0833333333339</v>
      </c>
      <c r="Q44" s="4">
        <f>98437/12</f>
        <v>8203.0833333333339</v>
      </c>
      <c r="R44" s="4">
        <f>101390/12</f>
        <v>8449.1666666666661</v>
      </c>
      <c r="S44" s="4">
        <f>101390/12</f>
        <v>8449.1666666666661</v>
      </c>
      <c r="T44" s="4">
        <f>104432/12</f>
        <v>8702.6666666666661</v>
      </c>
      <c r="U44" s="4">
        <f>104432/12</f>
        <v>8702.6666666666661</v>
      </c>
      <c r="V44" s="4">
        <f>104432/12</f>
        <v>8702.6666666666661</v>
      </c>
      <c r="W44" s="4">
        <f>107565/12</f>
        <v>8963.75</v>
      </c>
      <c r="X44" s="4">
        <f>107565/12</f>
        <v>8963.75</v>
      </c>
      <c r="Y44" s="4">
        <f>107565/12</f>
        <v>8963.75</v>
      </c>
      <c r="Z44" s="4">
        <f>110792/12</f>
        <v>9232.6666666666661</v>
      </c>
      <c r="AA44" s="4">
        <f>110792/12</f>
        <v>9232.6666666666661</v>
      </c>
      <c r="AB44" s="4">
        <f>113124/12</f>
        <v>9427</v>
      </c>
      <c r="AC44" s="5" t="s">
        <v>93</v>
      </c>
    </row>
    <row r="45" spans="1:29" ht="15.5" x14ac:dyDescent="0.35">
      <c r="A45" s="10" t="s">
        <v>95</v>
      </c>
      <c r="B45" s="1" t="s">
        <v>96</v>
      </c>
      <c r="C45" s="4">
        <f>60477/12</f>
        <v>5039.75</v>
      </c>
      <c r="D45" s="4">
        <f>62292/12</f>
        <v>5191</v>
      </c>
      <c r="E45" s="4">
        <f>62292/12</f>
        <v>5191</v>
      </c>
      <c r="F45" s="4">
        <f>64161/12</f>
        <v>5346.75</v>
      </c>
      <c r="G45" s="4">
        <f>64161/12</f>
        <v>5346.75</v>
      </c>
      <c r="H45" s="4">
        <f>66085/12</f>
        <v>5507.083333333333</v>
      </c>
      <c r="I45" s="4">
        <f>66085/12</f>
        <v>5507.083333333333</v>
      </c>
      <c r="J45" s="4">
        <f>68068/12</f>
        <v>5672.333333333333</v>
      </c>
      <c r="K45" s="4">
        <f>68068/12</f>
        <v>5672.333333333333</v>
      </c>
      <c r="L45" s="4">
        <f>68068/12</f>
        <v>5672.333333333333</v>
      </c>
      <c r="M45" s="4">
        <f>74085/12</f>
        <v>6173.75</v>
      </c>
      <c r="N45" s="4">
        <f>74085/12</f>
        <v>6173.75</v>
      </c>
      <c r="O45" s="4">
        <f>76307/12</f>
        <v>6358.916666666667</v>
      </c>
      <c r="P45" s="4">
        <f>76307/12</f>
        <v>6358.916666666667</v>
      </c>
      <c r="Q45" s="4">
        <f>76307/12</f>
        <v>6358.916666666667</v>
      </c>
      <c r="R45" s="4">
        <f>78597/12</f>
        <v>6549.75</v>
      </c>
      <c r="S45" s="4">
        <f>78597/12</f>
        <v>6549.75</v>
      </c>
      <c r="T45" s="4">
        <f>80955/12</f>
        <v>6746.25</v>
      </c>
      <c r="U45" s="4">
        <f>80955/12</f>
        <v>6746.25</v>
      </c>
      <c r="V45" s="4">
        <f>80955/12</f>
        <v>6746.25</v>
      </c>
      <c r="W45" s="4">
        <f>83383/12</f>
        <v>6948.583333333333</v>
      </c>
      <c r="X45" s="4">
        <f>83383/12</f>
        <v>6948.583333333333</v>
      </c>
      <c r="Y45" s="4">
        <f>83383/12</f>
        <v>6948.583333333333</v>
      </c>
      <c r="Z45" s="4">
        <f>85885/12</f>
        <v>7157.083333333333</v>
      </c>
      <c r="AA45" s="4">
        <f>85885/12</f>
        <v>7157.083333333333</v>
      </c>
      <c r="AB45" s="4">
        <f>87692/12</f>
        <v>7307.666666666667</v>
      </c>
      <c r="AC45" s="5" t="s">
        <v>97</v>
      </c>
    </row>
    <row r="46" spans="1:29" ht="15.5" x14ac:dyDescent="0.35">
      <c r="A46" s="2" t="s">
        <v>98</v>
      </c>
      <c r="B46" s="1" t="s">
        <v>99</v>
      </c>
      <c r="C46" s="4">
        <f>66769/12</f>
        <v>5564.083333333333</v>
      </c>
      <c r="D46" s="4">
        <f>68772/12</f>
        <v>5731</v>
      </c>
      <c r="E46" s="4">
        <f>68772/12</f>
        <v>5731</v>
      </c>
      <c r="F46" s="4">
        <f>70835/12</f>
        <v>5902.916666666667</v>
      </c>
      <c r="G46" s="4">
        <f>70835/12</f>
        <v>5902.916666666667</v>
      </c>
      <c r="H46" s="4">
        <f>72960/12</f>
        <v>6080</v>
      </c>
      <c r="I46" s="4">
        <f>72960/12</f>
        <v>6080</v>
      </c>
      <c r="J46" s="4">
        <f>75149/12</f>
        <v>6262.416666666667</v>
      </c>
      <c r="K46" s="4">
        <f>75149/12</f>
        <v>6262.416666666667</v>
      </c>
      <c r="L46" s="4">
        <f>75149/12</f>
        <v>6262.416666666667</v>
      </c>
      <c r="M46" s="4">
        <f>81792/12</f>
        <v>6816</v>
      </c>
      <c r="N46" s="4">
        <f>81792/12</f>
        <v>6816</v>
      </c>
      <c r="O46" s="4">
        <f>84245/12</f>
        <v>7020.416666666667</v>
      </c>
      <c r="P46" s="4">
        <f>84245/12</f>
        <v>7020.416666666667</v>
      </c>
      <c r="Q46" s="4">
        <f>84245/12</f>
        <v>7020.416666666667</v>
      </c>
      <c r="R46" s="4">
        <f>86773/12</f>
        <v>7231.083333333333</v>
      </c>
      <c r="S46" s="4">
        <f>86773/12</f>
        <v>7231.083333333333</v>
      </c>
      <c r="T46" s="4">
        <f>89376/12</f>
        <v>7448</v>
      </c>
      <c r="U46" s="4">
        <f>89376/12</f>
        <v>7448</v>
      </c>
      <c r="V46" s="4">
        <f>89376/12</f>
        <v>7448</v>
      </c>
      <c r="W46" s="4">
        <f>92057/12</f>
        <v>7671.416666666667</v>
      </c>
      <c r="X46" s="4">
        <f>92057/12</f>
        <v>7671.416666666667</v>
      </c>
      <c r="Y46" s="4">
        <f>92057/12</f>
        <v>7671.416666666667</v>
      </c>
      <c r="Z46" s="4">
        <f>94819/12</f>
        <v>7901.583333333333</v>
      </c>
      <c r="AA46" s="4">
        <f>94819/12</f>
        <v>7901.583333333333</v>
      </c>
      <c r="AB46" s="4">
        <f>96815/12</f>
        <v>8067.916666666667</v>
      </c>
      <c r="AC46" s="5" t="s">
        <v>98</v>
      </c>
    </row>
    <row r="47" spans="1:29" ht="15.5" x14ac:dyDescent="0.35">
      <c r="A47" s="2" t="s">
        <v>100</v>
      </c>
      <c r="B47" s="1" t="s">
        <v>101</v>
      </c>
      <c r="C47" s="4">
        <f>73703/12</f>
        <v>6141.916666666667</v>
      </c>
      <c r="D47" s="4">
        <f>75914/12</f>
        <v>6326.166666666667</v>
      </c>
      <c r="E47" s="4">
        <f>75914/12</f>
        <v>6326.166666666667</v>
      </c>
      <c r="F47" s="4">
        <f>78191/12</f>
        <v>6515.916666666667</v>
      </c>
      <c r="G47" s="4">
        <f>78191/12</f>
        <v>6515.916666666667</v>
      </c>
      <c r="H47" s="4">
        <f>80537/12</f>
        <v>6711.416666666667</v>
      </c>
      <c r="I47" s="4">
        <f>80537/12</f>
        <v>6711.416666666667</v>
      </c>
      <c r="J47" s="4">
        <f>82953/12</f>
        <v>6912.75</v>
      </c>
      <c r="K47" s="4">
        <f>82953/12</f>
        <v>6912.75</v>
      </c>
      <c r="L47" s="4">
        <f>82953/12</f>
        <v>6912.75</v>
      </c>
      <c r="M47" s="4">
        <f>90286/12</f>
        <v>7523.833333333333</v>
      </c>
      <c r="N47" s="4">
        <f>90286/12</f>
        <v>7523.833333333333</v>
      </c>
      <c r="O47" s="4">
        <f>92994/12</f>
        <v>7749.5</v>
      </c>
      <c r="P47" s="4">
        <f>92994/12</f>
        <v>7749.5</v>
      </c>
      <c r="Q47" s="4">
        <f>92994/12</f>
        <v>7749.5</v>
      </c>
      <c r="R47" s="4">
        <f>95784/12</f>
        <v>7982</v>
      </c>
      <c r="S47" s="4">
        <f>95784/12</f>
        <v>7982</v>
      </c>
      <c r="T47" s="4">
        <f>98658/12</f>
        <v>8221.5</v>
      </c>
      <c r="U47" s="4">
        <f>98658/12</f>
        <v>8221.5</v>
      </c>
      <c r="V47" s="4">
        <f>98658/12</f>
        <v>8221.5</v>
      </c>
      <c r="W47" s="4">
        <f>101617/12</f>
        <v>8468.0833333333339</v>
      </c>
      <c r="X47" s="4">
        <f>101617/12</f>
        <v>8468.0833333333339</v>
      </c>
      <c r="Y47" s="4">
        <f>101617/12</f>
        <v>8468.0833333333339</v>
      </c>
      <c r="Z47" s="4">
        <f>104666/12</f>
        <v>8722.1666666666661</v>
      </c>
      <c r="AA47" s="4">
        <f>104666/12</f>
        <v>8722.1666666666661</v>
      </c>
      <c r="AB47" s="4">
        <f>106869/12</f>
        <v>8905.75</v>
      </c>
      <c r="AC47" s="5" t="s">
        <v>102</v>
      </c>
    </row>
    <row r="48" spans="1:29" ht="15.5" x14ac:dyDescent="0.35">
      <c r="A48" s="2" t="s">
        <v>103</v>
      </c>
      <c r="B48" s="1" t="s">
        <v>104</v>
      </c>
      <c r="C48" s="4">
        <f>81378/12</f>
        <v>6781.5</v>
      </c>
      <c r="D48" s="4">
        <f>83820/12</f>
        <v>6985</v>
      </c>
      <c r="E48" s="4">
        <f>83820/12</f>
        <v>6985</v>
      </c>
      <c r="F48" s="4">
        <f>86334/12</f>
        <v>7194.5</v>
      </c>
      <c r="G48" s="4">
        <f>86334/12</f>
        <v>7194.5</v>
      </c>
      <c r="H48" s="4">
        <f>88924/12</f>
        <v>7410.333333333333</v>
      </c>
      <c r="I48" s="4">
        <f>88924/12</f>
        <v>7410.333333333333</v>
      </c>
      <c r="J48" s="4">
        <f>91592/12</f>
        <v>7632.666666666667</v>
      </c>
      <c r="K48" s="4">
        <f>91592/12</f>
        <v>7632.666666666667</v>
      </c>
      <c r="L48" s="4">
        <f>91592/12</f>
        <v>7632.666666666667</v>
      </c>
      <c r="M48" s="4">
        <f>99688/12</f>
        <v>8307.3333333333339</v>
      </c>
      <c r="N48" s="4">
        <f>99688/12</f>
        <v>8307.3333333333339</v>
      </c>
      <c r="O48" s="4">
        <f>102679/12</f>
        <v>8556.5833333333339</v>
      </c>
      <c r="P48" s="4">
        <f>102679/12</f>
        <v>8556.5833333333339</v>
      </c>
      <c r="Q48" s="4">
        <f>102679/12</f>
        <v>8556.5833333333339</v>
      </c>
      <c r="R48" s="4">
        <f>105759/12</f>
        <v>8813.25</v>
      </c>
      <c r="S48" s="4">
        <f>105759/12</f>
        <v>8813.25</v>
      </c>
      <c r="T48" s="4">
        <f>108932/12</f>
        <v>9077.6666666666661</v>
      </c>
      <c r="U48" s="4">
        <f>108932/12</f>
        <v>9077.6666666666661</v>
      </c>
      <c r="V48" s="4">
        <f>108932/12</f>
        <v>9077.6666666666661</v>
      </c>
      <c r="W48" s="4">
        <f>112200/12</f>
        <v>9350</v>
      </c>
      <c r="X48" s="4">
        <f>112200/12</f>
        <v>9350</v>
      </c>
      <c r="Y48" s="4">
        <f>112200/12</f>
        <v>9350</v>
      </c>
      <c r="Z48" s="4">
        <f>115566/12</f>
        <v>9630.5</v>
      </c>
      <c r="AA48" s="4">
        <f>115566/12</f>
        <v>9630.5</v>
      </c>
      <c r="AB48" s="4">
        <f>117998/12</f>
        <v>9833.1666666666661</v>
      </c>
      <c r="AC48" s="5" t="s">
        <v>105</v>
      </c>
    </row>
    <row r="49" spans="1:29" ht="15.5" x14ac:dyDescent="0.35">
      <c r="A49" s="2" t="s">
        <v>106</v>
      </c>
      <c r="B49" s="1" t="s">
        <v>107</v>
      </c>
      <c r="C49" s="4">
        <f>89832/12</f>
        <v>7486</v>
      </c>
      <c r="D49" s="4">
        <f>92527/12</f>
        <v>7710.583333333333</v>
      </c>
      <c r="E49" s="4">
        <f>92527/12</f>
        <v>7710.583333333333</v>
      </c>
      <c r="F49" s="4">
        <f>95303/12</f>
        <v>7941.916666666667</v>
      </c>
      <c r="G49" s="4">
        <f>95303/12</f>
        <v>7941.916666666667</v>
      </c>
      <c r="H49" s="4">
        <f>98162/12</f>
        <v>8180.166666666667</v>
      </c>
      <c r="I49" s="4">
        <f>98162/12</f>
        <v>8180.166666666667</v>
      </c>
      <c r="J49" s="4">
        <f>101107/12</f>
        <v>8425.5833333333339</v>
      </c>
      <c r="K49" s="4">
        <f>101107/12</f>
        <v>8425.5833333333339</v>
      </c>
      <c r="L49" s="4">
        <f>101107/12</f>
        <v>8425.5833333333339</v>
      </c>
      <c r="M49" s="4">
        <f>110045/12</f>
        <v>9170.4166666666661</v>
      </c>
      <c r="N49" s="4">
        <f>110045/12</f>
        <v>9170.4166666666661</v>
      </c>
      <c r="O49" s="4">
        <f>113346/12</f>
        <v>9445.5</v>
      </c>
      <c r="P49" s="4">
        <f>113346/12</f>
        <v>9445.5</v>
      </c>
      <c r="Q49" s="4">
        <f>113346/12</f>
        <v>9445.5</v>
      </c>
      <c r="R49" s="4">
        <f>116747/12</f>
        <v>9728.9166666666661</v>
      </c>
      <c r="S49" s="4">
        <f>116747/12</f>
        <v>9728.9166666666661</v>
      </c>
      <c r="T49" s="4">
        <f>120249/12</f>
        <v>10020.75</v>
      </c>
      <c r="U49" s="4">
        <f>120249/12</f>
        <v>10020.75</v>
      </c>
      <c r="V49" s="4">
        <f>120249/12</f>
        <v>10020.75</v>
      </c>
      <c r="W49" s="4">
        <f>123856/12</f>
        <v>10321.333333333334</v>
      </c>
      <c r="X49" s="4">
        <f>123856/12</f>
        <v>10321.333333333334</v>
      </c>
      <c r="Y49" s="4">
        <f>123856/12</f>
        <v>10321.333333333334</v>
      </c>
      <c r="Z49" s="4">
        <f>127572/12</f>
        <v>10631</v>
      </c>
      <c r="AA49" s="4">
        <f>127572/12</f>
        <v>10631</v>
      </c>
      <c r="AB49" s="4">
        <f>130257/12</f>
        <v>10854.75</v>
      </c>
      <c r="AC49" s="5" t="s">
        <v>106</v>
      </c>
    </row>
    <row r="50" spans="1:29" ht="15.5" x14ac:dyDescent="0.35">
      <c r="A50" s="2" t="s">
        <v>108</v>
      </c>
      <c r="B50" s="1" t="s">
        <v>109</v>
      </c>
      <c r="C50" s="4">
        <f>99152/12</f>
        <v>8262.6666666666661</v>
      </c>
      <c r="D50" s="4">
        <f>102126/12</f>
        <v>8510.5</v>
      </c>
      <c r="E50" s="4">
        <f>102126/12</f>
        <v>8510.5</v>
      </c>
      <c r="F50" s="4">
        <f>105190/12</f>
        <v>8765.8333333333339</v>
      </c>
      <c r="G50" s="4">
        <f>105190/12</f>
        <v>8765.8333333333339</v>
      </c>
      <c r="H50" s="4">
        <f>108346/12</f>
        <v>9028.8333333333339</v>
      </c>
      <c r="I50" s="4">
        <f>108346/12</f>
        <v>9028.8333333333339</v>
      </c>
      <c r="J50" s="4">
        <f>111596/12</f>
        <v>9299.6666666666661</v>
      </c>
      <c r="K50" s="4">
        <f>111596/12</f>
        <v>9299.6666666666661</v>
      </c>
      <c r="L50" s="4">
        <f>111596/12</f>
        <v>9299.6666666666661</v>
      </c>
      <c r="M50" s="4">
        <f>121461/12</f>
        <v>10121.75</v>
      </c>
      <c r="N50" s="4">
        <f>121461/12</f>
        <v>10121.75</v>
      </c>
      <c r="O50" s="4">
        <f>125105/12</f>
        <v>10425.416666666666</v>
      </c>
      <c r="P50" s="4">
        <f>125105/12</f>
        <v>10425.416666666666</v>
      </c>
      <c r="Q50" s="4">
        <f>125105/12</f>
        <v>10425.416666666666</v>
      </c>
      <c r="R50" s="4">
        <f>128858/12</f>
        <v>10738.166666666666</v>
      </c>
      <c r="S50" s="4">
        <f>128858/12</f>
        <v>10738.166666666666</v>
      </c>
      <c r="T50" s="4">
        <f>132724/12</f>
        <v>11060.333333333334</v>
      </c>
      <c r="U50" s="4">
        <f>132724/12</f>
        <v>11060.333333333334</v>
      </c>
      <c r="V50" s="4">
        <f>132724/12</f>
        <v>11060.333333333334</v>
      </c>
      <c r="W50" s="4">
        <f>136706/12</f>
        <v>11392.166666666666</v>
      </c>
      <c r="X50" s="4">
        <f>136706/12</f>
        <v>11392.166666666666</v>
      </c>
      <c r="Y50" s="4">
        <f>136706/12</f>
        <v>11392.166666666666</v>
      </c>
      <c r="Z50" s="4">
        <f>140807/12</f>
        <v>11733.916666666666</v>
      </c>
      <c r="AA50" s="4">
        <f>140807/12</f>
        <v>11733.916666666666</v>
      </c>
      <c r="AB50" s="4">
        <f>143770/12</f>
        <v>11980.833333333334</v>
      </c>
      <c r="AC50" s="5" t="s">
        <v>110</v>
      </c>
    </row>
    <row r="51" spans="1:29" ht="15.5" x14ac:dyDescent="0.35">
      <c r="A51" s="2" t="s">
        <v>111</v>
      </c>
      <c r="B51" s="1" t="s">
        <v>112</v>
      </c>
      <c r="C51" s="4">
        <f>109448/12</f>
        <v>9120.6666666666661</v>
      </c>
      <c r="D51" s="4">
        <f>112731/12</f>
        <v>9394.25</v>
      </c>
      <c r="E51" s="4">
        <f>112731/12</f>
        <v>9394.25</v>
      </c>
      <c r="F51" s="4">
        <f>116113/12</f>
        <v>9676.0833333333339</v>
      </c>
      <c r="G51" s="4">
        <f>116113/12</f>
        <v>9676.0833333333339</v>
      </c>
      <c r="H51" s="4">
        <f>119597/12</f>
        <v>9966.4166666666661</v>
      </c>
      <c r="I51" s="4">
        <f>119597/12</f>
        <v>9966.4166666666661</v>
      </c>
      <c r="J51" s="4">
        <f>123184/12</f>
        <v>10265.333333333334</v>
      </c>
      <c r="K51" s="4">
        <f>123184/12</f>
        <v>10265.333333333334</v>
      </c>
      <c r="L51" s="4">
        <f>123184/12</f>
        <v>10265.333333333334</v>
      </c>
      <c r="M51" s="4">
        <f>134074/12</f>
        <v>11172.833333333334</v>
      </c>
      <c r="N51" s="4">
        <f>134074/12</f>
        <v>11172.833333333334</v>
      </c>
      <c r="O51" s="4">
        <f>138096/12</f>
        <v>11508</v>
      </c>
      <c r="P51" s="4">
        <f>138096/12</f>
        <v>11508</v>
      </c>
      <c r="Q51" s="4">
        <f>138096/12</f>
        <v>11508</v>
      </c>
      <c r="R51" s="4">
        <f>142239/12</f>
        <v>11853.25</v>
      </c>
      <c r="S51" s="4">
        <f>142239/12</f>
        <v>11853.25</v>
      </c>
      <c r="T51" s="4">
        <f>146506/12</f>
        <v>12208.833333333334</v>
      </c>
      <c r="U51" s="4">
        <f>146506/12</f>
        <v>12208.833333333334</v>
      </c>
      <c r="V51" s="4">
        <f>146506/12</f>
        <v>12208.833333333334</v>
      </c>
      <c r="W51" s="4">
        <f>150901/12</f>
        <v>12575.083333333334</v>
      </c>
      <c r="X51" s="4">
        <f>150901/12</f>
        <v>12575.083333333334</v>
      </c>
      <c r="Y51" s="4">
        <f>150901/12</f>
        <v>12575.083333333334</v>
      </c>
      <c r="Z51" s="4">
        <f>155428/12</f>
        <v>12952.333333333334</v>
      </c>
      <c r="AA51" s="4">
        <f>155428/12</f>
        <v>12952.333333333334</v>
      </c>
      <c r="AB51" s="4">
        <f>158699/12</f>
        <v>13224.916666666666</v>
      </c>
      <c r="AC51" s="5" t="s">
        <v>113</v>
      </c>
    </row>
    <row r="52" spans="1:29" ht="15.5" x14ac:dyDescent="0.35">
      <c r="A52" s="2" t="s">
        <v>114</v>
      </c>
      <c r="B52" s="1" t="s">
        <v>115</v>
      </c>
      <c r="C52" s="4">
        <f>120844/12</f>
        <v>10070.333333333334</v>
      </c>
      <c r="D52" s="4">
        <f>124469/12</f>
        <v>10372.416666666666</v>
      </c>
      <c r="E52" s="4">
        <f>124469/12</f>
        <v>10372.416666666666</v>
      </c>
      <c r="F52" s="4">
        <f>128203/12</f>
        <v>10683.583333333334</v>
      </c>
      <c r="G52" s="4">
        <f>128203/12</f>
        <v>10683.583333333334</v>
      </c>
      <c r="H52" s="4">
        <f>132049/12</f>
        <v>11004.083333333334</v>
      </c>
      <c r="I52" s="4">
        <f>132049/12</f>
        <v>11004.083333333334</v>
      </c>
      <c r="J52" s="4">
        <f>136011/12</f>
        <v>11334.25</v>
      </c>
      <c r="K52" s="4">
        <f>136011/12</f>
        <v>11334.25</v>
      </c>
      <c r="L52" s="4">
        <f>136011/12</f>
        <v>11334.25</v>
      </c>
      <c r="M52" s="4">
        <f>148034/12</f>
        <v>12336.166666666666</v>
      </c>
      <c r="N52" s="4">
        <f>148034/12</f>
        <v>12336.166666666666</v>
      </c>
      <c r="O52" s="4">
        <f>152475/12</f>
        <v>12706.25</v>
      </c>
      <c r="P52" s="4">
        <f>152475/12</f>
        <v>12706.25</v>
      </c>
      <c r="Q52" s="4">
        <f>152475/12</f>
        <v>12706.25</v>
      </c>
      <c r="R52" s="4">
        <f>157049/12</f>
        <v>13087.416666666666</v>
      </c>
      <c r="S52" s="4">
        <f>157049/12</f>
        <v>13087.416666666666</v>
      </c>
      <c r="T52" s="4">
        <f>161760/12</f>
        <v>13480</v>
      </c>
      <c r="U52" s="4">
        <f>161760/12</f>
        <v>13480</v>
      </c>
      <c r="V52" s="4">
        <f>161760/12</f>
        <v>13480</v>
      </c>
      <c r="W52" s="4">
        <f>166613/12</f>
        <v>13884.416666666666</v>
      </c>
      <c r="X52" s="4">
        <f>166613/12</f>
        <v>13884.416666666666</v>
      </c>
      <c r="Y52" s="4">
        <f>166613/12</f>
        <v>13884.416666666666</v>
      </c>
      <c r="Z52" s="4">
        <f>171611/12</f>
        <v>14300.916666666666</v>
      </c>
      <c r="AA52" s="4">
        <f>171611/12</f>
        <v>14300.916666666666</v>
      </c>
      <c r="AB52" s="4">
        <f>175223/12</f>
        <v>14601.916666666666</v>
      </c>
      <c r="AC52" s="5" t="s">
        <v>116</v>
      </c>
    </row>
    <row r="53" spans="1:29" ht="15.5" x14ac:dyDescent="0.35">
      <c r="A53" s="2" t="s">
        <v>117</v>
      </c>
      <c r="B53" s="1" t="s">
        <v>118</v>
      </c>
      <c r="C53" s="4">
        <f>128890/12</f>
        <v>10740.833333333334</v>
      </c>
      <c r="D53" s="4">
        <f>132757/12</f>
        <v>11063.083333333334</v>
      </c>
      <c r="E53" s="4">
        <f>132757/12</f>
        <v>11063.083333333334</v>
      </c>
      <c r="F53" s="4">
        <f>136739/12</f>
        <v>11394.916666666666</v>
      </c>
      <c r="G53" s="4">
        <f>136739/12</f>
        <v>11394.916666666666</v>
      </c>
      <c r="H53" s="4">
        <f>140842/12</f>
        <v>11736.833333333334</v>
      </c>
      <c r="I53" s="4">
        <f>140842/12</f>
        <v>11736.833333333334</v>
      </c>
      <c r="J53" s="4">
        <f>145067/12</f>
        <v>12088.916666666666</v>
      </c>
      <c r="K53" s="4">
        <f>145067/12</f>
        <v>12088.916666666666</v>
      </c>
      <c r="L53" s="4">
        <f>145067/12</f>
        <v>12088.916666666666</v>
      </c>
      <c r="M53" s="4">
        <f>157890/12</f>
        <v>13157.5</v>
      </c>
      <c r="N53" s="4">
        <f>157890/12</f>
        <v>13157.5</v>
      </c>
      <c r="O53" s="4">
        <f>162627/12</f>
        <v>13552.25</v>
      </c>
      <c r="P53" s="4">
        <f>162627/12</f>
        <v>13552.25</v>
      </c>
      <c r="Q53" s="4">
        <f>162627/12</f>
        <v>13552.25</v>
      </c>
      <c r="R53" s="4">
        <f>167506/12</f>
        <v>13958.833333333334</v>
      </c>
      <c r="S53" s="4">
        <f>167506/12</f>
        <v>13958.833333333334</v>
      </c>
      <c r="T53" s="4">
        <f>172531/12</f>
        <v>14377.583333333334</v>
      </c>
      <c r="U53" s="4">
        <f>172531/12</f>
        <v>14377.583333333334</v>
      </c>
      <c r="V53" s="4">
        <f>172531/12</f>
        <v>14377.583333333334</v>
      </c>
      <c r="W53" s="4">
        <f>177707/12</f>
        <v>14808.916666666666</v>
      </c>
      <c r="X53" s="4">
        <f>177707/12</f>
        <v>14808.916666666666</v>
      </c>
      <c r="Y53" s="4">
        <f>177707/12</f>
        <v>14808.916666666666</v>
      </c>
      <c r="Z53" s="4">
        <f>183038/12</f>
        <v>15253.166666666666</v>
      </c>
      <c r="AA53" s="4">
        <f>183038/12</f>
        <v>15253.166666666666</v>
      </c>
      <c r="AB53" s="4">
        <f>186891/12</f>
        <v>15574.25</v>
      </c>
      <c r="AC53" s="5" t="s">
        <v>117</v>
      </c>
    </row>
    <row r="54" spans="1:29" ht="15.5" x14ac:dyDescent="0.35">
      <c r="A54" s="2" t="s">
        <v>119</v>
      </c>
      <c r="B54" s="1" t="s">
        <v>120</v>
      </c>
      <c r="C54" s="4">
        <f>138144/12</f>
        <v>11512</v>
      </c>
      <c r="D54" s="4">
        <f>142288/12</f>
        <v>11857.333333333334</v>
      </c>
      <c r="E54" s="4">
        <f>142288/12</f>
        <v>11857.333333333334</v>
      </c>
      <c r="F54" s="4">
        <f>146557/12</f>
        <v>12213.083333333334</v>
      </c>
      <c r="G54" s="4">
        <f>146557/12</f>
        <v>12213.083333333334</v>
      </c>
      <c r="H54" s="4">
        <f>150954/12</f>
        <v>12579.5</v>
      </c>
      <c r="I54" s="4">
        <f>150954/12</f>
        <v>12579.5</v>
      </c>
      <c r="J54" s="4">
        <f>155482/12</f>
        <v>12956.833333333334</v>
      </c>
      <c r="K54" s="4">
        <f>155482/12</f>
        <v>12956.833333333334</v>
      </c>
      <c r="L54" s="4">
        <f>155482/12</f>
        <v>12956.833333333334</v>
      </c>
      <c r="M54" s="4">
        <f>168470/12</f>
        <v>14039.166666666666</v>
      </c>
      <c r="N54" s="4">
        <f>168470/12</f>
        <v>14039.166666666666</v>
      </c>
      <c r="O54" s="4">
        <f>173524/12</f>
        <v>14460.333333333334</v>
      </c>
      <c r="P54" s="4">
        <f>173524/12</f>
        <v>14460.333333333334</v>
      </c>
      <c r="Q54" s="4">
        <f>173524/12</f>
        <v>14460.333333333334</v>
      </c>
      <c r="R54" s="4">
        <f>178729/12</f>
        <v>14894.083333333334</v>
      </c>
      <c r="S54" s="4">
        <f>178729/12</f>
        <v>14894.083333333334</v>
      </c>
      <c r="T54" s="4">
        <f>184091/12</f>
        <v>15340.916666666666</v>
      </c>
      <c r="U54" s="4">
        <f>184091/12</f>
        <v>15340.916666666666</v>
      </c>
      <c r="V54" s="4">
        <f>184091/12</f>
        <v>15340.916666666666</v>
      </c>
      <c r="W54" s="4">
        <f>189614/12</f>
        <v>15801.166666666666</v>
      </c>
      <c r="X54" s="4">
        <f>189614/12</f>
        <v>15801.166666666666</v>
      </c>
      <c r="Y54" s="4">
        <f>189614/12</f>
        <v>15801.166666666666</v>
      </c>
      <c r="Z54" s="4">
        <f>195302/12</f>
        <v>16275.166666666666</v>
      </c>
      <c r="AA54" s="4">
        <f>195302/12</f>
        <v>16275.166666666666</v>
      </c>
      <c r="AB54" s="4">
        <f>198795/12</f>
        <v>16566.25</v>
      </c>
      <c r="AC54" s="5" t="s">
        <v>119</v>
      </c>
    </row>
    <row r="55" spans="1:29" ht="15.5" x14ac:dyDescent="0.35">
      <c r="A55" s="2" t="s">
        <v>121</v>
      </c>
      <c r="B55" s="1" t="s">
        <v>122</v>
      </c>
      <c r="C55" s="4">
        <f>37785/12</f>
        <v>3148.75</v>
      </c>
      <c r="D55" s="4">
        <f>38918/12</f>
        <v>3243.1666666666665</v>
      </c>
      <c r="E55" s="4">
        <f>38918/12</f>
        <v>3243.1666666666665</v>
      </c>
      <c r="F55" s="4">
        <f>40086/12</f>
        <v>3340.5</v>
      </c>
      <c r="G55" s="4">
        <f>40086/12</f>
        <v>3340.5</v>
      </c>
      <c r="H55" s="4">
        <f>41288/12</f>
        <v>3440.6666666666665</v>
      </c>
      <c r="I55" s="4">
        <f>41288/12</f>
        <v>3440.6666666666665</v>
      </c>
      <c r="J55" s="4">
        <f>42527/12</f>
        <v>3543.9166666666665</v>
      </c>
      <c r="K55" s="4">
        <f>42527/12</f>
        <v>3543.9166666666665</v>
      </c>
      <c r="L55" s="4">
        <f>42527/12</f>
        <v>3543.9166666666665</v>
      </c>
      <c r="M55" s="4">
        <f>46286/12</f>
        <v>3857.1666666666665</v>
      </c>
      <c r="N55" s="4">
        <f>46286/12</f>
        <v>3857.1666666666665</v>
      </c>
      <c r="O55" s="4">
        <f>47675/12</f>
        <v>3972.9166666666665</v>
      </c>
      <c r="P55" s="4">
        <f>47675/12</f>
        <v>3972.9166666666665</v>
      </c>
      <c r="Q55" s="4">
        <f>47675/12</f>
        <v>3972.9166666666665</v>
      </c>
      <c r="R55" s="4">
        <f>49105/12</f>
        <v>4092.0833333333335</v>
      </c>
      <c r="S55" s="4">
        <f>49105/12</f>
        <v>4092.0833333333335</v>
      </c>
      <c r="T55" s="4">
        <f>50578/12</f>
        <v>4214.833333333333</v>
      </c>
      <c r="U55" s="4">
        <f>50578/12</f>
        <v>4214.833333333333</v>
      </c>
      <c r="V55" s="4">
        <f>50578/12</f>
        <v>4214.833333333333</v>
      </c>
      <c r="W55" s="4">
        <f>52095/12</f>
        <v>4341.25</v>
      </c>
      <c r="X55" s="4">
        <f>52095/12</f>
        <v>4341.25</v>
      </c>
      <c r="Y55" s="4">
        <f>52095/12</f>
        <v>4341.25</v>
      </c>
      <c r="Z55" s="4">
        <f>53658/12</f>
        <v>4471.5</v>
      </c>
      <c r="AA55" s="4">
        <f>53658/12</f>
        <v>4471.5</v>
      </c>
      <c r="AB55" s="4">
        <f>54788/12</f>
        <v>4565.666666666667</v>
      </c>
      <c r="AC55" s="5" t="s">
        <v>121</v>
      </c>
    </row>
    <row r="56" spans="1:29" ht="15.5" x14ac:dyDescent="0.35">
      <c r="A56" s="2" t="s">
        <v>123</v>
      </c>
      <c r="B56" s="1" t="s">
        <v>124</v>
      </c>
      <c r="C56" s="4">
        <f>52159/12</f>
        <v>4346.583333333333</v>
      </c>
      <c r="D56" s="4">
        <f>53724/12</f>
        <v>4477</v>
      </c>
      <c r="E56" s="4">
        <f>53724/12</f>
        <v>4477</v>
      </c>
      <c r="F56" s="4">
        <f>55336/12</f>
        <v>4611.333333333333</v>
      </c>
      <c r="G56" s="4">
        <f>55336/12</f>
        <v>4611.333333333333</v>
      </c>
      <c r="H56" s="4">
        <f>56996/12</f>
        <v>4749.666666666667</v>
      </c>
      <c r="I56" s="4">
        <f>56996/12</f>
        <v>4749.666666666667</v>
      </c>
      <c r="J56" s="4">
        <f>58706/12</f>
        <v>4892.166666666667</v>
      </c>
      <c r="K56" s="4">
        <f>58706/12</f>
        <v>4892.166666666667</v>
      </c>
      <c r="L56" s="4">
        <f>58706/12</f>
        <v>4892.166666666667</v>
      </c>
      <c r="M56" s="4">
        <f>63895/12</f>
        <v>5324.583333333333</v>
      </c>
      <c r="N56" s="4">
        <f>63895/12</f>
        <v>5324.583333333333</v>
      </c>
      <c r="O56" s="4">
        <f>65812/12</f>
        <v>5484.333333333333</v>
      </c>
      <c r="P56" s="4">
        <f>65812/12</f>
        <v>5484.333333333333</v>
      </c>
      <c r="Q56" s="4">
        <f>65812/12</f>
        <v>5484.333333333333</v>
      </c>
      <c r="R56" s="4">
        <f>67786/12</f>
        <v>5648.833333333333</v>
      </c>
      <c r="S56" s="4">
        <f>67786/12</f>
        <v>5648.833333333333</v>
      </c>
      <c r="T56" s="4">
        <f>69820/12</f>
        <v>5818.333333333333</v>
      </c>
      <c r="U56" s="4">
        <f>69820/12</f>
        <v>5818.333333333333</v>
      </c>
      <c r="V56" s="4">
        <f>69820/12</f>
        <v>5818.333333333333</v>
      </c>
      <c r="W56" s="4">
        <f>71914/12</f>
        <v>5992.833333333333</v>
      </c>
      <c r="X56" s="4">
        <f>71914/12</f>
        <v>5992.833333333333</v>
      </c>
      <c r="Y56" s="4">
        <f>71914/12</f>
        <v>5992.833333333333</v>
      </c>
      <c r="Z56" s="4">
        <f>74072/12</f>
        <v>6172.666666666667</v>
      </c>
      <c r="AA56" s="4">
        <f>74072/12</f>
        <v>6172.666666666667</v>
      </c>
      <c r="AB56" s="4">
        <f>75631/12</f>
        <v>6302.583333333333</v>
      </c>
      <c r="AC56" s="5" t="s">
        <v>125</v>
      </c>
    </row>
    <row r="57" spans="1:29" ht="15.5" x14ac:dyDescent="0.35">
      <c r="A57" s="2" t="s">
        <v>126</v>
      </c>
      <c r="B57" s="1" t="s">
        <v>127</v>
      </c>
      <c r="C57" s="4">
        <f>68919/12</f>
        <v>5743.25</v>
      </c>
      <c r="D57" s="4">
        <f>70987/12</f>
        <v>5915.583333333333</v>
      </c>
      <c r="E57" s="4">
        <f>70987/12</f>
        <v>5915.583333333333</v>
      </c>
      <c r="F57" s="4">
        <f>73117/12</f>
        <v>6093.083333333333</v>
      </c>
      <c r="G57" s="4">
        <f>73117/12</f>
        <v>6093.083333333333</v>
      </c>
      <c r="H57" s="4">
        <f>75310/12</f>
        <v>6275.833333333333</v>
      </c>
      <c r="I57" s="4">
        <f>75310/12</f>
        <v>6275.833333333333</v>
      </c>
      <c r="J57" s="4">
        <f>77569/12</f>
        <v>6464.083333333333</v>
      </c>
      <c r="K57" s="4">
        <f>77569/12</f>
        <v>6464.083333333333</v>
      </c>
      <c r="L57" s="4">
        <f>77569/12</f>
        <v>6464.083333333333</v>
      </c>
      <c r="M57" s="4">
        <f>84426/12</f>
        <v>7035.5</v>
      </c>
      <c r="N57" s="4">
        <f>84426/12</f>
        <v>7035.5</v>
      </c>
      <c r="O57" s="4">
        <f>86959/12</f>
        <v>7246.583333333333</v>
      </c>
      <c r="P57" s="4">
        <f>86959/12</f>
        <v>7246.583333333333</v>
      </c>
      <c r="Q57" s="4">
        <f>86959/12</f>
        <v>7246.583333333333</v>
      </c>
      <c r="R57" s="4">
        <f>89568/12</f>
        <v>7464</v>
      </c>
      <c r="S57" s="4">
        <f>89568/12</f>
        <v>7464</v>
      </c>
      <c r="T57" s="4">
        <f>92255/12</f>
        <v>7687.916666666667</v>
      </c>
      <c r="U57" s="4">
        <f>92255/12</f>
        <v>7687.916666666667</v>
      </c>
      <c r="V57" s="4">
        <f>92255/12</f>
        <v>7687.916666666667</v>
      </c>
      <c r="W57" s="4">
        <f>95022/12</f>
        <v>7918.5</v>
      </c>
      <c r="X57" s="4">
        <f>95022/12</f>
        <v>7918.5</v>
      </c>
      <c r="Y57" s="4">
        <f>95022/12</f>
        <v>7918.5</v>
      </c>
      <c r="Z57" s="4">
        <f>97873/12</f>
        <v>8156.083333333333</v>
      </c>
      <c r="AA57" s="4">
        <f>97873/12</f>
        <v>8156.083333333333</v>
      </c>
      <c r="AB57" s="4">
        <f>99933/12</f>
        <v>8327.75</v>
      </c>
      <c r="AC57" s="5" t="s">
        <v>126</v>
      </c>
    </row>
    <row r="58" spans="1:29" ht="15.5" x14ac:dyDescent="0.35">
      <c r="A58" s="2" t="s">
        <v>128</v>
      </c>
      <c r="B58" s="1" t="s">
        <v>129</v>
      </c>
      <c r="C58" s="4">
        <f>89536/12</f>
        <v>7461.333333333333</v>
      </c>
      <c r="D58" s="4">
        <f>92222/12</f>
        <v>7685.166666666667</v>
      </c>
      <c r="E58" s="4">
        <f>92222/12</f>
        <v>7685.166666666667</v>
      </c>
      <c r="F58" s="4">
        <f>94989/12</f>
        <v>7915.75</v>
      </c>
      <c r="G58" s="4">
        <f>94989/12</f>
        <v>7915.75</v>
      </c>
      <c r="H58" s="4">
        <f>97838/12</f>
        <v>8153.166666666667</v>
      </c>
      <c r="I58" s="4">
        <f>97838/12</f>
        <v>8153.166666666667</v>
      </c>
      <c r="J58" s="4">
        <f>100773/12</f>
        <v>8397.75</v>
      </c>
      <c r="K58" s="4">
        <f>100773/12</f>
        <v>8397.75</v>
      </c>
      <c r="L58" s="4">
        <f>100773/12</f>
        <v>8397.75</v>
      </c>
      <c r="M58" s="4">
        <f>109681/12</f>
        <v>9140.0833333333339</v>
      </c>
      <c r="N58" s="4">
        <f>109681/12</f>
        <v>9140.0833333333339</v>
      </c>
      <c r="O58" s="4">
        <f>112972/12</f>
        <v>9414.3333333333339</v>
      </c>
      <c r="P58" s="4">
        <f>112972/12</f>
        <v>9414.3333333333339</v>
      </c>
      <c r="Q58" s="4">
        <f>112972/12</f>
        <v>9414.3333333333339</v>
      </c>
      <c r="R58" s="4">
        <f>116361/12</f>
        <v>9696.75</v>
      </c>
      <c r="S58" s="4">
        <f>116361/12</f>
        <v>9696.75</v>
      </c>
      <c r="T58" s="4">
        <f>119852/12</f>
        <v>9987.6666666666661</v>
      </c>
      <c r="U58" s="4">
        <f>119852/12</f>
        <v>9987.6666666666661</v>
      </c>
      <c r="V58" s="4">
        <f>119852/12</f>
        <v>9987.6666666666661</v>
      </c>
      <c r="W58" s="4">
        <f>123447/12</f>
        <v>10287.25</v>
      </c>
      <c r="X58" s="4">
        <f>123447/12</f>
        <v>10287.25</v>
      </c>
      <c r="Y58" s="4">
        <f>123447/12</f>
        <v>10287.25</v>
      </c>
      <c r="Z58" s="4">
        <f>127151/12</f>
        <v>10595.916666666666</v>
      </c>
      <c r="AA58" s="4">
        <f>127151/12</f>
        <v>10595.916666666666</v>
      </c>
      <c r="AB58" s="4">
        <f>129827/12</f>
        <v>10818.916666666666</v>
      </c>
      <c r="AC58" s="5" t="s">
        <v>128</v>
      </c>
    </row>
    <row r="59" spans="1:29" ht="15.5" x14ac:dyDescent="0.35">
      <c r="A59" s="11" t="s">
        <v>520</v>
      </c>
      <c r="B59" s="12" t="s">
        <v>521</v>
      </c>
      <c r="C59" s="4">
        <f>73888/12</f>
        <v>6157.333333333333</v>
      </c>
      <c r="D59" s="4">
        <f>76105/12</f>
        <v>6342.083333333333</v>
      </c>
      <c r="E59" s="4">
        <f>76105/12</f>
        <v>6342.083333333333</v>
      </c>
      <c r="F59" s="4">
        <f>78388/12</f>
        <v>6532.333333333333</v>
      </c>
      <c r="G59" s="4">
        <f>78388/12</f>
        <v>6532.333333333333</v>
      </c>
      <c r="H59" s="4">
        <f>80739/12</f>
        <v>6728.25</v>
      </c>
      <c r="I59" s="4">
        <f>80739/12</f>
        <v>6728.25</v>
      </c>
      <c r="J59" s="4">
        <f>83162/12</f>
        <v>6930.166666666667</v>
      </c>
      <c r="K59" s="4">
        <f>83162/12</f>
        <v>6930.166666666667</v>
      </c>
      <c r="L59" s="4">
        <f>83162/12</f>
        <v>6930.166666666667</v>
      </c>
      <c r="M59" s="4">
        <f>90513/12</f>
        <v>7542.75</v>
      </c>
      <c r="N59" s="4">
        <f>90513/12</f>
        <v>7542.75</v>
      </c>
      <c r="O59" s="4">
        <f>93228/12</f>
        <v>7769</v>
      </c>
      <c r="P59" s="4">
        <f>93228/12</f>
        <v>7769</v>
      </c>
      <c r="Q59" s="4">
        <f>93228/12</f>
        <v>7769</v>
      </c>
      <c r="R59" s="4">
        <f>96025/12</f>
        <v>8002.083333333333</v>
      </c>
      <c r="S59" s="4">
        <f>96025/12</f>
        <v>8002.083333333333</v>
      </c>
      <c r="T59" s="4">
        <f>98906/12</f>
        <v>8242.1666666666661</v>
      </c>
      <c r="U59" s="4">
        <f>98906/12</f>
        <v>8242.1666666666661</v>
      </c>
      <c r="V59" s="4">
        <f>98906/12</f>
        <v>8242.1666666666661</v>
      </c>
      <c r="W59" s="4">
        <f>101873/12</f>
        <v>8489.4166666666661</v>
      </c>
      <c r="X59" s="4">
        <f>101873/12</f>
        <v>8489.4166666666661</v>
      </c>
      <c r="Y59" s="4">
        <f>101873/12</f>
        <v>8489.4166666666661</v>
      </c>
      <c r="Z59" s="4">
        <f>104929/12</f>
        <v>8744.0833333333339</v>
      </c>
      <c r="AA59" s="4">
        <f>104929/12</f>
        <v>8744.0833333333339</v>
      </c>
      <c r="AB59" s="4">
        <f>107138/12</f>
        <v>8928.1666666666661</v>
      </c>
      <c r="AC59" s="5" t="s">
        <v>514</v>
      </c>
    </row>
    <row r="60" spans="1:29" ht="15.5" x14ac:dyDescent="0.35">
      <c r="A60" s="2" t="s">
        <v>130</v>
      </c>
      <c r="B60" s="1" t="s">
        <v>131</v>
      </c>
      <c r="C60" s="4">
        <f>68919/12</f>
        <v>5743.25</v>
      </c>
      <c r="D60" s="4">
        <f>70987/12</f>
        <v>5915.583333333333</v>
      </c>
      <c r="E60" s="4">
        <f>70987/12</f>
        <v>5915.583333333333</v>
      </c>
      <c r="F60" s="4">
        <f>73117/12</f>
        <v>6093.083333333333</v>
      </c>
      <c r="G60" s="4">
        <f>73117/12</f>
        <v>6093.083333333333</v>
      </c>
      <c r="H60" s="4">
        <f>75310/12</f>
        <v>6275.833333333333</v>
      </c>
      <c r="I60" s="4">
        <f>75310/12</f>
        <v>6275.833333333333</v>
      </c>
      <c r="J60" s="4">
        <f>77569/12</f>
        <v>6464.083333333333</v>
      </c>
      <c r="K60" s="4">
        <f>77569/12</f>
        <v>6464.083333333333</v>
      </c>
      <c r="L60" s="4">
        <f>77569/12</f>
        <v>6464.083333333333</v>
      </c>
      <c r="M60" s="4">
        <f>84426/12</f>
        <v>7035.5</v>
      </c>
      <c r="N60" s="4">
        <f>84426/12</f>
        <v>7035.5</v>
      </c>
      <c r="O60" s="4">
        <f>86959/12</f>
        <v>7246.583333333333</v>
      </c>
      <c r="P60" s="4">
        <f>86959/12</f>
        <v>7246.583333333333</v>
      </c>
      <c r="Q60" s="4">
        <f>86959/12</f>
        <v>7246.583333333333</v>
      </c>
      <c r="R60" s="4">
        <f>89568/12</f>
        <v>7464</v>
      </c>
      <c r="S60" s="4">
        <f>89568/12</f>
        <v>7464</v>
      </c>
      <c r="T60" s="4">
        <f>92255/12</f>
        <v>7687.916666666667</v>
      </c>
      <c r="U60" s="4">
        <f>92255/12</f>
        <v>7687.916666666667</v>
      </c>
      <c r="V60" s="4">
        <f>92255/12</f>
        <v>7687.916666666667</v>
      </c>
      <c r="W60" s="4">
        <f>95022/12</f>
        <v>7918.5</v>
      </c>
      <c r="X60" s="4">
        <f>95022/12</f>
        <v>7918.5</v>
      </c>
      <c r="Y60" s="4">
        <f>95022/12</f>
        <v>7918.5</v>
      </c>
      <c r="Z60" s="4">
        <f>97873/12</f>
        <v>8156.083333333333</v>
      </c>
      <c r="AA60" s="4">
        <f>97873/12</f>
        <v>8156.083333333333</v>
      </c>
      <c r="AB60" s="4">
        <f>99933/12</f>
        <v>8327.75</v>
      </c>
      <c r="AC60" s="5" t="s">
        <v>130</v>
      </c>
    </row>
    <row r="61" spans="1:29" ht="15.5" x14ac:dyDescent="0.35">
      <c r="A61" s="2" t="s">
        <v>132</v>
      </c>
      <c r="B61" s="1" t="s">
        <v>133</v>
      </c>
      <c r="C61" s="4">
        <f>62640/12</f>
        <v>5220</v>
      </c>
      <c r="D61" s="4">
        <f>64520/12</f>
        <v>5376.666666666667</v>
      </c>
      <c r="E61" s="4">
        <f>64520/12</f>
        <v>5376.666666666667</v>
      </c>
      <c r="F61" s="4">
        <f>66455/12</f>
        <v>5537.916666666667</v>
      </c>
      <c r="G61" s="4">
        <f>66455/12</f>
        <v>5537.916666666667</v>
      </c>
      <c r="H61" s="4">
        <f>68449/12</f>
        <v>5704.083333333333</v>
      </c>
      <c r="I61" s="4">
        <f>68449/12</f>
        <v>5704.083333333333</v>
      </c>
      <c r="J61" s="4">
        <f>70502/12</f>
        <v>5875.166666666667</v>
      </c>
      <c r="K61" s="4">
        <f>70502/12</f>
        <v>5875.166666666667</v>
      </c>
      <c r="L61" s="4">
        <f>70502/12</f>
        <v>5875.166666666667</v>
      </c>
      <c r="M61" s="4">
        <f>76735/12</f>
        <v>6394.583333333333</v>
      </c>
      <c r="N61" s="4">
        <f>76735/12</f>
        <v>6394.583333333333</v>
      </c>
      <c r="O61" s="4">
        <f>79037/12</f>
        <v>6586.416666666667</v>
      </c>
      <c r="P61" s="4">
        <f>79037/12</f>
        <v>6586.416666666667</v>
      </c>
      <c r="Q61" s="4">
        <f>79037/12</f>
        <v>6586.416666666667</v>
      </c>
      <c r="R61" s="4">
        <f>81408/12</f>
        <v>6784</v>
      </c>
      <c r="S61" s="4">
        <f>81408/12</f>
        <v>6784</v>
      </c>
      <c r="T61" s="4">
        <f>83850/12</f>
        <v>6987.5</v>
      </c>
      <c r="U61" s="4">
        <f>83850/12</f>
        <v>6987.5</v>
      </c>
      <c r="V61" s="4">
        <f>83850/12</f>
        <v>6987.5</v>
      </c>
      <c r="W61" s="4">
        <f>86365/12</f>
        <v>7197.083333333333</v>
      </c>
      <c r="X61" s="4">
        <f>86365/12</f>
        <v>7197.083333333333</v>
      </c>
      <c r="Y61" s="4">
        <f>86365/12</f>
        <v>7197.083333333333</v>
      </c>
      <c r="Z61" s="4">
        <f>88956/12</f>
        <v>7413</v>
      </c>
      <c r="AA61" s="4">
        <f>88956/12</f>
        <v>7413</v>
      </c>
      <c r="AB61" s="4">
        <f>90829/12</f>
        <v>7569.083333333333</v>
      </c>
      <c r="AC61" s="5" t="s">
        <v>132</v>
      </c>
    </row>
    <row r="62" spans="1:29" ht="15.5" x14ac:dyDescent="0.35">
      <c r="A62" s="2" t="s">
        <v>134</v>
      </c>
      <c r="B62" s="1" t="s">
        <v>135</v>
      </c>
      <c r="C62" s="4">
        <f>59180/12</f>
        <v>4931.666666666667</v>
      </c>
      <c r="D62" s="4">
        <f>60955/12</f>
        <v>5079.583333333333</v>
      </c>
      <c r="E62" s="4">
        <f>60955/12</f>
        <v>5079.583333333333</v>
      </c>
      <c r="F62" s="4">
        <f>62784/12</f>
        <v>5232</v>
      </c>
      <c r="G62" s="4">
        <f>62784/12</f>
        <v>5232</v>
      </c>
      <c r="H62" s="4">
        <f>64667/12</f>
        <v>5388.916666666667</v>
      </c>
      <c r="I62" s="4">
        <f>64667/12</f>
        <v>5388.916666666667</v>
      </c>
      <c r="J62" s="4">
        <f>66607/12</f>
        <v>5550.583333333333</v>
      </c>
      <c r="K62" s="4">
        <f>66607/12</f>
        <v>5550.583333333333</v>
      </c>
      <c r="L62" s="4">
        <f>66607/12</f>
        <v>5550.583333333333</v>
      </c>
      <c r="M62" s="4">
        <f>72514/12</f>
        <v>6042.833333333333</v>
      </c>
      <c r="N62" s="4">
        <f>72514/12</f>
        <v>6042.833333333333</v>
      </c>
      <c r="O62" s="4">
        <f>74689/12</f>
        <v>6224.083333333333</v>
      </c>
      <c r="P62" s="4">
        <f>74689/12</f>
        <v>6224.083333333333</v>
      </c>
      <c r="Q62" s="4">
        <f>74689/12</f>
        <v>6224.083333333333</v>
      </c>
      <c r="R62" s="4">
        <f>76930/12</f>
        <v>6410.833333333333</v>
      </c>
      <c r="S62" s="4">
        <f>76930/12</f>
        <v>6410.833333333333</v>
      </c>
      <c r="T62" s="4">
        <f>79238/12</f>
        <v>6603.166666666667</v>
      </c>
      <c r="U62" s="4">
        <f>79238/12</f>
        <v>6603.166666666667</v>
      </c>
      <c r="V62" s="4">
        <f>79238/12</f>
        <v>6603.166666666667</v>
      </c>
      <c r="W62" s="4">
        <f>81615/12</f>
        <v>6801.25</v>
      </c>
      <c r="X62" s="4">
        <f>81615/12</f>
        <v>6801.25</v>
      </c>
      <c r="Y62" s="4">
        <f>81615/12</f>
        <v>6801.25</v>
      </c>
      <c r="Z62" s="4">
        <f>84063/12</f>
        <v>7005.25</v>
      </c>
      <c r="AA62" s="4">
        <f>84063/12</f>
        <v>7005.25</v>
      </c>
      <c r="AB62" s="4">
        <f>85848/12</f>
        <v>7154</v>
      </c>
      <c r="AC62" s="5" t="s">
        <v>134</v>
      </c>
    </row>
    <row r="63" spans="1:29" ht="15.5" x14ac:dyDescent="0.35">
      <c r="A63" s="2" t="s">
        <v>136</v>
      </c>
      <c r="B63" s="1" t="s">
        <v>137</v>
      </c>
      <c r="C63" s="4">
        <f>67906/12</f>
        <v>5658.833333333333</v>
      </c>
      <c r="D63" s="4">
        <f>69943/12</f>
        <v>5828.583333333333</v>
      </c>
      <c r="E63" s="4">
        <f>69943/12</f>
        <v>5828.583333333333</v>
      </c>
      <c r="F63" s="4">
        <f>72041/12</f>
        <v>6003.416666666667</v>
      </c>
      <c r="G63" s="4">
        <f>72041/12</f>
        <v>6003.416666666667</v>
      </c>
      <c r="H63" s="4">
        <f>74203/12</f>
        <v>6183.583333333333</v>
      </c>
      <c r="I63" s="4">
        <f>74203/12</f>
        <v>6183.583333333333</v>
      </c>
      <c r="J63" s="4">
        <f>76429/12</f>
        <v>6369.083333333333</v>
      </c>
      <c r="K63" s="4">
        <f>76429/12</f>
        <v>6369.083333333333</v>
      </c>
      <c r="L63" s="4">
        <f>76429/12</f>
        <v>6369.083333333333</v>
      </c>
      <c r="M63" s="4">
        <f>83771/12</f>
        <v>6980.916666666667</v>
      </c>
      <c r="N63" s="4">
        <f>83771/12</f>
        <v>6980.916666666667</v>
      </c>
      <c r="O63" s="4">
        <f>86284/12</f>
        <v>7190.333333333333</v>
      </c>
      <c r="P63" s="4">
        <f>86284/12</f>
        <v>7190.333333333333</v>
      </c>
      <c r="Q63" s="4">
        <f>86284/12</f>
        <v>7190.333333333333</v>
      </c>
      <c r="R63" s="4">
        <f>88873/12</f>
        <v>7406.083333333333</v>
      </c>
      <c r="S63" s="4">
        <f>88873/12</f>
        <v>7406.083333333333</v>
      </c>
      <c r="T63" s="4">
        <f>91539/12</f>
        <v>7628.25</v>
      </c>
      <c r="U63" s="4">
        <f>91539/12</f>
        <v>7628.25</v>
      </c>
      <c r="V63" s="4">
        <f>91539/12</f>
        <v>7628.25</v>
      </c>
      <c r="W63" s="4">
        <f>94285/12</f>
        <v>7857.083333333333</v>
      </c>
      <c r="X63" s="4">
        <f>94285/12</f>
        <v>7857.083333333333</v>
      </c>
      <c r="Y63" s="4">
        <f>94285/12</f>
        <v>7857.083333333333</v>
      </c>
      <c r="Z63" s="4">
        <f>97113/12</f>
        <v>8092.75</v>
      </c>
      <c r="AA63" s="4">
        <f>97113/12</f>
        <v>8092.75</v>
      </c>
      <c r="AB63" s="4">
        <f>99636/12</f>
        <v>8303</v>
      </c>
      <c r="AC63" s="5" t="s">
        <v>136</v>
      </c>
    </row>
    <row r="64" spans="1:29" ht="15.5" x14ac:dyDescent="0.35">
      <c r="A64" s="2" t="s">
        <v>138</v>
      </c>
      <c r="B64" s="1" t="s">
        <v>139</v>
      </c>
      <c r="C64" s="4">
        <f>86446/12</f>
        <v>7203.833333333333</v>
      </c>
      <c r="D64" s="4">
        <f>89039/12</f>
        <v>7419.916666666667</v>
      </c>
      <c r="E64" s="4">
        <f>89039/12</f>
        <v>7419.916666666667</v>
      </c>
      <c r="F64" s="4">
        <f>91710/12</f>
        <v>7642.5</v>
      </c>
      <c r="G64" s="4">
        <f>91710/12</f>
        <v>7642.5</v>
      </c>
      <c r="H64" s="4">
        <f>94462/12</f>
        <v>7871.833333333333</v>
      </c>
      <c r="I64" s="4">
        <f>94462/12</f>
        <v>7871.833333333333</v>
      </c>
      <c r="J64" s="4">
        <f>97296/12</f>
        <v>8108</v>
      </c>
      <c r="K64" s="4">
        <f>97296/12</f>
        <v>8108</v>
      </c>
      <c r="L64" s="4">
        <f>97296/12</f>
        <v>8108</v>
      </c>
      <c r="M64" s="4">
        <f>105896/12</f>
        <v>8824.6666666666661</v>
      </c>
      <c r="N64" s="4">
        <f>105896/12</f>
        <v>8824.6666666666661</v>
      </c>
      <c r="O64" s="4">
        <f>109073/12</f>
        <v>9089.4166666666661</v>
      </c>
      <c r="P64" s="4">
        <f>109073/12</f>
        <v>9089.4166666666661</v>
      </c>
      <c r="Q64" s="4">
        <f>109073/12</f>
        <v>9089.4166666666661</v>
      </c>
      <c r="R64" s="4">
        <f>112345/12</f>
        <v>9362.0833333333339</v>
      </c>
      <c r="S64" s="4">
        <f>112345/12</f>
        <v>9362.0833333333339</v>
      </c>
      <c r="T64" s="4">
        <f>115716/12</f>
        <v>9643</v>
      </c>
      <c r="U64" s="4">
        <f>115716/12</f>
        <v>9643</v>
      </c>
      <c r="V64" s="4">
        <f>115716/12</f>
        <v>9643</v>
      </c>
      <c r="W64" s="4">
        <f>119187/12</f>
        <v>9932.25</v>
      </c>
      <c r="X64" s="4">
        <f>119187/12</f>
        <v>9932.25</v>
      </c>
      <c r="Y64" s="4">
        <f>119187/12</f>
        <v>9932.25</v>
      </c>
      <c r="Z64" s="4">
        <f>122763/12</f>
        <v>10230.25</v>
      </c>
      <c r="AA64" s="4">
        <f>122763/12</f>
        <v>10230.25</v>
      </c>
      <c r="AB64" s="4">
        <f>125346/12</f>
        <v>10445.5</v>
      </c>
      <c r="AC64" s="5" t="s">
        <v>138</v>
      </c>
    </row>
    <row r="65" spans="1:29" ht="15.5" x14ac:dyDescent="0.35">
      <c r="A65" s="2" t="s">
        <v>140</v>
      </c>
      <c r="B65" s="1" t="s">
        <v>141</v>
      </c>
      <c r="C65" s="4">
        <f>114342/12</f>
        <v>9528.5</v>
      </c>
      <c r="D65" s="4">
        <f>117773/12</f>
        <v>9814.4166666666661</v>
      </c>
      <c r="E65" s="4">
        <f>117773/12</f>
        <v>9814.4166666666661</v>
      </c>
      <c r="F65" s="4">
        <f>121306/12</f>
        <v>10108.833333333334</v>
      </c>
      <c r="G65" s="4">
        <f>121306/12</f>
        <v>10108.833333333334</v>
      </c>
      <c r="H65" s="4">
        <f>124945/12</f>
        <v>10412.083333333334</v>
      </c>
      <c r="I65" s="4">
        <f>124945/12</f>
        <v>10412.083333333334</v>
      </c>
      <c r="J65" s="4">
        <f>128693/12</f>
        <v>10724.416666666666</v>
      </c>
      <c r="K65" s="4">
        <f>128693/12</f>
        <v>10724.416666666666</v>
      </c>
      <c r="L65" s="4">
        <f>128693/12</f>
        <v>10724.416666666666</v>
      </c>
      <c r="M65" s="4">
        <f>140069/12</f>
        <v>11672.416666666666</v>
      </c>
      <c r="N65" s="4">
        <f>140069/12</f>
        <v>11672.416666666666</v>
      </c>
      <c r="O65" s="4">
        <f>144271/12</f>
        <v>12022.583333333334</v>
      </c>
      <c r="P65" s="4">
        <f>144271/12</f>
        <v>12022.583333333334</v>
      </c>
      <c r="Q65" s="4">
        <f>144271/12</f>
        <v>12022.583333333334</v>
      </c>
      <c r="R65" s="4">
        <f>148600/12</f>
        <v>12383.333333333334</v>
      </c>
      <c r="S65" s="4">
        <f>148600/12</f>
        <v>12383.333333333334</v>
      </c>
      <c r="T65" s="4">
        <f>153058/12</f>
        <v>12754.833333333334</v>
      </c>
      <c r="U65" s="4">
        <f>153058/12</f>
        <v>12754.833333333334</v>
      </c>
      <c r="V65" s="4">
        <f>153058/12</f>
        <v>12754.833333333334</v>
      </c>
      <c r="W65" s="4">
        <f>157649/12</f>
        <v>13137.416666666666</v>
      </c>
      <c r="X65" s="4">
        <f>157649/12</f>
        <v>13137.416666666666</v>
      </c>
      <c r="Y65" s="4">
        <f>157649/12</f>
        <v>13137.416666666666</v>
      </c>
      <c r="Z65" s="4">
        <f>162379/12</f>
        <v>13531.583333333334</v>
      </c>
      <c r="AA65" s="4">
        <f>162379/12</f>
        <v>13531.583333333334</v>
      </c>
      <c r="AB65" s="4">
        <f>165796/12</f>
        <v>13816.333333333334</v>
      </c>
      <c r="AC65" s="5" t="s">
        <v>140</v>
      </c>
    </row>
    <row r="66" spans="1:29" ht="15.5" x14ac:dyDescent="0.35">
      <c r="A66" s="2" t="s">
        <v>142</v>
      </c>
      <c r="B66" s="1" t="s">
        <v>143</v>
      </c>
      <c r="C66" s="4">
        <f>76101/12</f>
        <v>6341.75</v>
      </c>
      <c r="D66" s="4">
        <f>78384/12</f>
        <v>6532</v>
      </c>
      <c r="E66" s="4">
        <f>78384/12</f>
        <v>6532</v>
      </c>
      <c r="F66" s="4">
        <f>80735/12</f>
        <v>6727.916666666667</v>
      </c>
      <c r="G66" s="4">
        <f>80735/12</f>
        <v>6727.916666666667</v>
      </c>
      <c r="H66" s="4">
        <f>83157/12</f>
        <v>6929.75</v>
      </c>
      <c r="I66" s="4">
        <f>83157/12</f>
        <v>6929.75</v>
      </c>
      <c r="J66" s="4">
        <f>85652/12</f>
        <v>7137.666666666667</v>
      </c>
      <c r="K66" s="4">
        <f>85652/12</f>
        <v>7137.666666666667</v>
      </c>
      <c r="L66" s="4">
        <f>85652/12</f>
        <v>7137.666666666667</v>
      </c>
      <c r="M66" s="4">
        <f>93223/12</f>
        <v>7768.583333333333</v>
      </c>
      <c r="N66" s="4">
        <f>93223/12</f>
        <v>7768.583333333333</v>
      </c>
      <c r="O66" s="4">
        <f>96020/12</f>
        <v>8001.666666666667</v>
      </c>
      <c r="P66" s="4">
        <f>96020/12</f>
        <v>8001.666666666667</v>
      </c>
      <c r="Q66" s="4">
        <f>96020/12</f>
        <v>8001.666666666667</v>
      </c>
      <c r="R66" s="4">
        <f>98900/12</f>
        <v>8241.6666666666661</v>
      </c>
      <c r="S66" s="4">
        <f>98900/12</f>
        <v>8241.6666666666661</v>
      </c>
      <c r="T66" s="4">
        <f>101867/12</f>
        <v>8488.9166666666661</v>
      </c>
      <c r="U66" s="4">
        <f>101867/12</f>
        <v>8488.9166666666661</v>
      </c>
      <c r="V66" s="4">
        <f>101867/12</f>
        <v>8488.9166666666661</v>
      </c>
      <c r="W66" s="4">
        <f>104923/12</f>
        <v>8743.5833333333339</v>
      </c>
      <c r="X66" s="4">
        <f>104923/12</f>
        <v>8743.5833333333339</v>
      </c>
      <c r="Y66" s="4">
        <f>104923/12</f>
        <v>8743.5833333333339</v>
      </c>
      <c r="Z66" s="4">
        <f>108071/12</f>
        <v>9005.9166666666661</v>
      </c>
      <c r="AA66" s="4">
        <f>108071/12</f>
        <v>9005.9166666666661</v>
      </c>
      <c r="AB66" s="4">
        <f>110346/12</f>
        <v>9195.5</v>
      </c>
      <c r="AC66" s="5" t="s">
        <v>142</v>
      </c>
    </row>
    <row r="67" spans="1:29" ht="15.5" x14ac:dyDescent="0.35">
      <c r="A67" s="2" t="s">
        <v>144</v>
      </c>
      <c r="B67" s="1" t="s">
        <v>145</v>
      </c>
      <c r="C67" s="4">
        <f>117012/12</f>
        <v>9751</v>
      </c>
      <c r="D67" s="4">
        <f>120522/12</f>
        <v>10043.5</v>
      </c>
      <c r="E67" s="4">
        <f>120522/12</f>
        <v>10043.5</v>
      </c>
      <c r="F67" s="4">
        <f>124138/12</f>
        <v>10344.833333333334</v>
      </c>
      <c r="G67" s="4">
        <f>124138/12</f>
        <v>10344.833333333334</v>
      </c>
      <c r="H67" s="4">
        <f>127862/12</f>
        <v>10655.166666666666</v>
      </c>
      <c r="I67" s="4">
        <f>127862/12</f>
        <v>10655.166666666666</v>
      </c>
      <c r="J67" s="4">
        <f>131698/12</f>
        <v>10974.833333333334</v>
      </c>
      <c r="K67" s="4">
        <f>131698/12</f>
        <v>10974.833333333334</v>
      </c>
      <c r="L67" s="4">
        <f>131698/12</f>
        <v>10974.833333333334</v>
      </c>
      <c r="M67" s="4">
        <f>143340/12</f>
        <v>11945</v>
      </c>
      <c r="N67" s="4">
        <f>143340/12</f>
        <v>11945</v>
      </c>
      <c r="O67" s="4">
        <f>147640/12</f>
        <v>12303.333333333334</v>
      </c>
      <c r="P67" s="4">
        <f>147640/12</f>
        <v>12303.333333333334</v>
      </c>
      <c r="Q67" s="4">
        <f>147640/12</f>
        <v>12303.333333333334</v>
      </c>
      <c r="R67" s="4">
        <f>152069/12</f>
        <v>12672.416666666666</v>
      </c>
      <c r="S67" s="4">
        <f>152069/12</f>
        <v>12672.416666666666</v>
      </c>
      <c r="T67" s="4">
        <f>156631/12</f>
        <v>13052.583333333334</v>
      </c>
      <c r="U67" s="4">
        <f>156631/12</f>
        <v>13052.583333333334</v>
      </c>
      <c r="V67" s="4">
        <f>156631/12</f>
        <v>13052.583333333334</v>
      </c>
      <c r="W67" s="4">
        <f>161330/12</f>
        <v>13444.166666666666</v>
      </c>
      <c r="X67" s="4">
        <f>161330/12</f>
        <v>13444.166666666666</v>
      </c>
      <c r="Y67" s="4">
        <f>161330/12</f>
        <v>13444.166666666666</v>
      </c>
      <c r="Z67" s="4">
        <f>166170/12</f>
        <v>13847.5</v>
      </c>
      <c r="AA67" s="4">
        <f>166170/12</f>
        <v>13847.5</v>
      </c>
      <c r="AB67" s="4">
        <f>169668/12</f>
        <v>14139</v>
      </c>
      <c r="AC67" s="5" t="s">
        <v>144</v>
      </c>
    </row>
    <row r="68" spans="1:29" ht="15.5" x14ac:dyDescent="0.35">
      <c r="A68" s="2" t="s">
        <v>146</v>
      </c>
      <c r="B68" s="1" t="s">
        <v>147</v>
      </c>
      <c r="C68" s="4">
        <f>76101/12</f>
        <v>6341.75</v>
      </c>
      <c r="D68" s="4">
        <f>78384/12</f>
        <v>6532</v>
      </c>
      <c r="E68" s="4">
        <f>78384/12</f>
        <v>6532</v>
      </c>
      <c r="F68" s="4">
        <f>80735/12</f>
        <v>6727.916666666667</v>
      </c>
      <c r="G68" s="4">
        <f>80735/12</f>
        <v>6727.916666666667</v>
      </c>
      <c r="H68" s="4">
        <f>83157/12</f>
        <v>6929.75</v>
      </c>
      <c r="I68" s="4">
        <f>83157/12</f>
        <v>6929.75</v>
      </c>
      <c r="J68" s="4">
        <f>85652/12</f>
        <v>7137.666666666667</v>
      </c>
      <c r="K68" s="4">
        <f>85652/12</f>
        <v>7137.666666666667</v>
      </c>
      <c r="L68" s="4">
        <f>85652/12</f>
        <v>7137.666666666667</v>
      </c>
      <c r="M68" s="4">
        <f>93223/12</f>
        <v>7768.583333333333</v>
      </c>
      <c r="N68" s="4">
        <f>93223/12</f>
        <v>7768.583333333333</v>
      </c>
      <c r="O68" s="4">
        <f>96020/12</f>
        <v>8001.666666666667</v>
      </c>
      <c r="P68" s="4">
        <f>96020/12</f>
        <v>8001.666666666667</v>
      </c>
      <c r="Q68" s="4">
        <f>96020/12</f>
        <v>8001.666666666667</v>
      </c>
      <c r="R68" s="4">
        <f>98900/12</f>
        <v>8241.6666666666661</v>
      </c>
      <c r="S68" s="4">
        <f>98900/12</f>
        <v>8241.6666666666661</v>
      </c>
      <c r="T68" s="4">
        <f>101867/12</f>
        <v>8488.9166666666661</v>
      </c>
      <c r="U68" s="4">
        <f>101867/12</f>
        <v>8488.9166666666661</v>
      </c>
      <c r="V68" s="4">
        <f>101867/12</f>
        <v>8488.9166666666661</v>
      </c>
      <c r="W68" s="4">
        <f>104923/12</f>
        <v>8743.5833333333339</v>
      </c>
      <c r="X68" s="4">
        <f>104923/12</f>
        <v>8743.5833333333339</v>
      </c>
      <c r="Y68" s="4">
        <f>104923/12</f>
        <v>8743.5833333333339</v>
      </c>
      <c r="Z68" s="4">
        <f>108071/12</f>
        <v>9005.9166666666661</v>
      </c>
      <c r="AA68" s="4">
        <f>108071/12</f>
        <v>9005.9166666666661</v>
      </c>
      <c r="AB68" s="4">
        <f>110346/12</f>
        <v>9195.5</v>
      </c>
      <c r="AC68" s="5" t="s">
        <v>146</v>
      </c>
    </row>
    <row r="69" spans="1:29" ht="15.5" x14ac:dyDescent="0.35">
      <c r="A69" s="2" t="s">
        <v>148</v>
      </c>
      <c r="B69" s="1" t="s">
        <v>149</v>
      </c>
      <c r="C69" s="4">
        <f>62257/12</f>
        <v>5188.083333333333</v>
      </c>
      <c r="D69" s="4">
        <f>64125/12</f>
        <v>5343.75</v>
      </c>
      <c r="E69" s="4">
        <f>64125/12</f>
        <v>5343.75</v>
      </c>
      <c r="F69" s="4">
        <f>66049/12</f>
        <v>5504.083333333333</v>
      </c>
      <c r="G69" s="4">
        <f>66049/12</f>
        <v>5504.083333333333</v>
      </c>
      <c r="H69" s="4">
        <f>68030/12</f>
        <v>5669.166666666667</v>
      </c>
      <c r="I69" s="4">
        <f>68030/12</f>
        <v>5669.166666666667</v>
      </c>
      <c r="J69" s="4">
        <f>70071/12</f>
        <v>5839.25</v>
      </c>
      <c r="K69" s="4">
        <f>70071/12</f>
        <v>5839.25</v>
      </c>
      <c r="L69" s="4">
        <f>70071/12</f>
        <v>5839.25</v>
      </c>
      <c r="M69" s="4">
        <f>76265/12</f>
        <v>6355.416666666667</v>
      </c>
      <c r="N69" s="4">
        <f>76265/12</f>
        <v>6355.416666666667</v>
      </c>
      <c r="O69" s="4">
        <f>78553/12</f>
        <v>6546.083333333333</v>
      </c>
      <c r="P69" s="4">
        <f>78553/12</f>
        <v>6546.083333333333</v>
      </c>
      <c r="Q69" s="4">
        <f>78553/12</f>
        <v>6546.083333333333</v>
      </c>
      <c r="R69" s="4">
        <f>80910/12</f>
        <v>6742.5</v>
      </c>
      <c r="S69" s="4">
        <f>80910/12</f>
        <v>6742.5</v>
      </c>
      <c r="T69" s="4">
        <f>83337/12</f>
        <v>6944.75</v>
      </c>
      <c r="U69" s="4">
        <f>83337/12</f>
        <v>6944.75</v>
      </c>
      <c r="V69" s="4">
        <f>83337/12</f>
        <v>6944.75</v>
      </c>
      <c r="W69" s="4">
        <f>85837/12</f>
        <v>7153.083333333333</v>
      </c>
      <c r="X69" s="4">
        <f>85837/12</f>
        <v>7153.083333333333</v>
      </c>
      <c r="Y69" s="4">
        <f>85837/12</f>
        <v>7153.083333333333</v>
      </c>
      <c r="Z69" s="4">
        <f>88412/12</f>
        <v>7367.666666666667</v>
      </c>
      <c r="AA69" s="4">
        <f>88412/12</f>
        <v>7367.666666666667</v>
      </c>
      <c r="AB69" s="4">
        <f>90273/12</f>
        <v>7522.75</v>
      </c>
      <c r="AC69" s="5" t="s">
        <v>148</v>
      </c>
    </row>
    <row r="70" spans="1:29" ht="15.5" x14ac:dyDescent="0.35">
      <c r="A70" s="2" t="s">
        <v>150</v>
      </c>
      <c r="B70" s="1" t="s">
        <v>151</v>
      </c>
      <c r="C70" s="4">
        <f>53616/12</f>
        <v>4468</v>
      </c>
      <c r="D70" s="4">
        <f>55224/12</f>
        <v>4602</v>
      </c>
      <c r="E70" s="4">
        <f>55224/12</f>
        <v>4602</v>
      </c>
      <c r="F70" s="4">
        <f>56881/12</f>
        <v>4740.083333333333</v>
      </c>
      <c r="G70" s="4">
        <f>56881/12</f>
        <v>4740.083333333333</v>
      </c>
      <c r="H70" s="4">
        <f>58587/12</f>
        <v>4882.25</v>
      </c>
      <c r="I70" s="4">
        <f>58587/12</f>
        <v>4882.25</v>
      </c>
      <c r="J70" s="4">
        <f>60345/12</f>
        <v>5028.75</v>
      </c>
      <c r="K70" s="4">
        <f>60345/12</f>
        <v>5028.75</v>
      </c>
      <c r="L70" s="4">
        <f>60345/12</f>
        <v>5028.75</v>
      </c>
      <c r="M70" s="4">
        <f>65679/12</f>
        <v>5473.25</v>
      </c>
      <c r="N70" s="4">
        <f>65679/12</f>
        <v>5473.25</v>
      </c>
      <c r="O70" s="4">
        <f>67649/12</f>
        <v>5637.416666666667</v>
      </c>
      <c r="P70" s="4">
        <f>67649/12</f>
        <v>5637.416666666667</v>
      </c>
      <c r="Q70" s="4">
        <f>67649/12</f>
        <v>5637.416666666667</v>
      </c>
      <c r="R70" s="4">
        <f>69679/12</f>
        <v>5806.583333333333</v>
      </c>
      <c r="S70" s="4">
        <f>69679/12</f>
        <v>5806.583333333333</v>
      </c>
      <c r="T70" s="4">
        <f>71769/12</f>
        <v>5980.75</v>
      </c>
      <c r="U70" s="4">
        <f>71769/12</f>
        <v>5980.75</v>
      </c>
      <c r="V70" s="4">
        <f>71769/12</f>
        <v>5980.75</v>
      </c>
      <c r="W70" s="4">
        <f>73922/12</f>
        <v>6160.166666666667</v>
      </c>
      <c r="X70" s="4">
        <f>73922/12</f>
        <v>6160.166666666667</v>
      </c>
      <c r="Y70" s="4">
        <f>73922/12</f>
        <v>6160.166666666667</v>
      </c>
      <c r="Z70" s="4">
        <f>76140/12</f>
        <v>6345</v>
      </c>
      <c r="AA70" s="4">
        <f>76140/12</f>
        <v>6345</v>
      </c>
      <c r="AB70" s="4">
        <f>77743/12</f>
        <v>6478.583333333333</v>
      </c>
      <c r="AC70" s="5" t="s">
        <v>152</v>
      </c>
    </row>
    <row r="71" spans="1:29" ht="15.5" x14ac:dyDescent="0.35">
      <c r="A71" s="2" t="s">
        <v>153</v>
      </c>
      <c r="B71" s="1" t="s">
        <v>154</v>
      </c>
      <c r="C71" s="4">
        <f>68919/12</f>
        <v>5743.25</v>
      </c>
      <c r="D71" s="4">
        <f>70987/12</f>
        <v>5915.583333333333</v>
      </c>
      <c r="E71" s="4">
        <f>70987/12</f>
        <v>5915.583333333333</v>
      </c>
      <c r="F71" s="4">
        <f>73117/12</f>
        <v>6093.083333333333</v>
      </c>
      <c r="G71" s="4">
        <f>73117/12</f>
        <v>6093.083333333333</v>
      </c>
      <c r="H71" s="4">
        <f>75310/12</f>
        <v>6275.833333333333</v>
      </c>
      <c r="I71" s="4">
        <f>75310/12</f>
        <v>6275.833333333333</v>
      </c>
      <c r="J71" s="4">
        <f>77569/12</f>
        <v>6464.083333333333</v>
      </c>
      <c r="K71" s="4">
        <f>77569/12</f>
        <v>6464.083333333333</v>
      </c>
      <c r="L71" s="4">
        <f>77569/12</f>
        <v>6464.083333333333</v>
      </c>
      <c r="M71" s="4">
        <f>84426/12</f>
        <v>7035.5</v>
      </c>
      <c r="N71" s="4">
        <f>84426/12</f>
        <v>7035.5</v>
      </c>
      <c r="O71" s="4">
        <f>86959/12</f>
        <v>7246.583333333333</v>
      </c>
      <c r="P71" s="4">
        <f>86959/12</f>
        <v>7246.583333333333</v>
      </c>
      <c r="Q71" s="4">
        <f>86959/12</f>
        <v>7246.583333333333</v>
      </c>
      <c r="R71" s="4">
        <f>89568/12</f>
        <v>7464</v>
      </c>
      <c r="S71" s="4">
        <f>89568/12</f>
        <v>7464</v>
      </c>
      <c r="T71" s="4">
        <f>92255/12</f>
        <v>7687.916666666667</v>
      </c>
      <c r="U71" s="4">
        <f>92255/12</f>
        <v>7687.916666666667</v>
      </c>
      <c r="V71" s="4">
        <f>92255/12</f>
        <v>7687.916666666667</v>
      </c>
      <c r="W71" s="4">
        <f>95022/12</f>
        <v>7918.5</v>
      </c>
      <c r="X71" s="4">
        <f>95022/12</f>
        <v>7918.5</v>
      </c>
      <c r="Y71" s="4">
        <f>95022/12</f>
        <v>7918.5</v>
      </c>
      <c r="Z71" s="4">
        <f>97873/12</f>
        <v>8156.083333333333</v>
      </c>
      <c r="AA71" s="4">
        <f>97873/12</f>
        <v>8156.083333333333</v>
      </c>
      <c r="AB71" s="4">
        <f>99933/12</f>
        <v>8327.75</v>
      </c>
      <c r="AC71" s="5" t="s">
        <v>153</v>
      </c>
    </row>
    <row r="72" spans="1:29" ht="15.5" x14ac:dyDescent="0.35">
      <c r="A72" s="2" t="s">
        <v>155</v>
      </c>
      <c r="B72" s="1" t="s">
        <v>156</v>
      </c>
      <c r="C72" s="4">
        <f>76101/12</f>
        <v>6341.75</v>
      </c>
      <c r="D72" s="4">
        <f>78384/12</f>
        <v>6532</v>
      </c>
      <c r="E72" s="4">
        <f>78384/12</f>
        <v>6532</v>
      </c>
      <c r="F72" s="4">
        <f>80735/12</f>
        <v>6727.916666666667</v>
      </c>
      <c r="G72" s="4">
        <f>80735/12</f>
        <v>6727.916666666667</v>
      </c>
      <c r="H72" s="4">
        <f>83157/12</f>
        <v>6929.75</v>
      </c>
      <c r="I72" s="4">
        <f>83157/12</f>
        <v>6929.75</v>
      </c>
      <c r="J72" s="4">
        <f>85652/12</f>
        <v>7137.666666666667</v>
      </c>
      <c r="K72" s="4">
        <f>85652/12</f>
        <v>7137.666666666667</v>
      </c>
      <c r="L72" s="4">
        <f>85652/12</f>
        <v>7137.666666666667</v>
      </c>
      <c r="M72" s="4">
        <f>93223/12</f>
        <v>7768.583333333333</v>
      </c>
      <c r="N72" s="4">
        <f>93223/12</f>
        <v>7768.583333333333</v>
      </c>
      <c r="O72" s="4">
        <f>96020/12</f>
        <v>8001.666666666667</v>
      </c>
      <c r="P72" s="4">
        <f>96020/12</f>
        <v>8001.666666666667</v>
      </c>
      <c r="Q72" s="4">
        <f>96020/12</f>
        <v>8001.666666666667</v>
      </c>
      <c r="R72" s="4">
        <f>98900/12</f>
        <v>8241.6666666666661</v>
      </c>
      <c r="S72" s="4">
        <f>98900/12</f>
        <v>8241.6666666666661</v>
      </c>
      <c r="T72" s="4">
        <f>101867/12</f>
        <v>8488.9166666666661</v>
      </c>
      <c r="U72" s="4">
        <f>101867/12</f>
        <v>8488.9166666666661</v>
      </c>
      <c r="V72" s="4">
        <f>101867/12</f>
        <v>8488.9166666666661</v>
      </c>
      <c r="W72" s="4">
        <f>104923/12</f>
        <v>8743.5833333333339</v>
      </c>
      <c r="X72" s="4">
        <f>104923/12</f>
        <v>8743.5833333333339</v>
      </c>
      <c r="Y72" s="4">
        <f>104923/12</f>
        <v>8743.5833333333339</v>
      </c>
      <c r="Z72" s="4">
        <f>108071/12</f>
        <v>9005.9166666666661</v>
      </c>
      <c r="AA72" s="4">
        <f>108071/12</f>
        <v>9005.9166666666661</v>
      </c>
      <c r="AB72" s="4">
        <f>110346/12</f>
        <v>9195.5</v>
      </c>
      <c r="AC72" s="5" t="s">
        <v>155</v>
      </c>
    </row>
    <row r="73" spans="1:29" ht="15.5" x14ac:dyDescent="0.35">
      <c r="A73" s="2" t="s">
        <v>157</v>
      </c>
      <c r="B73" s="1" t="s">
        <v>158</v>
      </c>
      <c r="C73" s="4">
        <f>89536/12</f>
        <v>7461.333333333333</v>
      </c>
      <c r="D73" s="4">
        <f>92222/12</f>
        <v>7685.166666666667</v>
      </c>
      <c r="E73" s="4">
        <f>92222/12</f>
        <v>7685.166666666667</v>
      </c>
      <c r="F73" s="4">
        <f>94989/12</f>
        <v>7915.75</v>
      </c>
      <c r="G73" s="4">
        <f>94989/12</f>
        <v>7915.75</v>
      </c>
      <c r="H73" s="4">
        <f>97838/12</f>
        <v>8153.166666666667</v>
      </c>
      <c r="I73" s="4">
        <f>97838/12</f>
        <v>8153.166666666667</v>
      </c>
      <c r="J73" s="4">
        <f>100773/12</f>
        <v>8397.75</v>
      </c>
      <c r="K73" s="4">
        <f>100773/12</f>
        <v>8397.75</v>
      </c>
      <c r="L73" s="4">
        <f>100773/12</f>
        <v>8397.75</v>
      </c>
      <c r="M73" s="4">
        <f>109681/12</f>
        <v>9140.0833333333339</v>
      </c>
      <c r="N73" s="4">
        <f>109681/12</f>
        <v>9140.0833333333339</v>
      </c>
      <c r="O73" s="4">
        <f>112972/12</f>
        <v>9414.3333333333339</v>
      </c>
      <c r="P73" s="4">
        <f>112972/12</f>
        <v>9414.3333333333339</v>
      </c>
      <c r="Q73" s="4">
        <f>112972/12</f>
        <v>9414.3333333333339</v>
      </c>
      <c r="R73" s="4">
        <f>116361/12</f>
        <v>9696.75</v>
      </c>
      <c r="S73" s="4">
        <f>116361/12</f>
        <v>9696.75</v>
      </c>
      <c r="T73" s="4">
        <f>119852/12</f>
        <v>9987.6666666666661</v>
      </c>
      <c r="U73" s="4">
        <f>119852/12</f>
        <v>9987.6666666666661</v>
      </c>
      <c r="V73" s="4">
        <f>119852/12</f>
        <v>9987.6666666666661</v>
      </c>
      <c r="W73" s="4">
        <f>123447/12</f>
        <v>10287.25</v>
      </c>
      <c r="X73" s="4">
        <f>123447/12</f>
        <v>10287.25</v>
      </c>
      <c r="Y73" s="4">
        <f>123447/12</f>
        <v>10287.25</v>
      </c>
      <c r="Z73" s="4">
        <f>127151/12</f>
        <v>10595.916666666666</v>
      </c>
      <c r="AA73" s="4">
        <f>127151/12</f>
        <v>10595.916666666666</v>
      </c>
      <c r="AB73" s="4">
        <f>129827/12</f>
        <v>10818.916666666666</v>
      </c>
      <c r="AC73" s="5" t="s">
        <v>157</v>
      </c>
    </row>
    <row r="74" spans="1:29" ht="15.5" x14ac:dyDescent="0.35">
      <c r="A74" s="2" t="s">
        <v>159</v>
      </c>
      <c r="B74" s="1" t="s">
        <v>160</v>
      </c>
      <c r="C74" s="4">
        <f>103317/12</f>
        <v>8609.75</v>
      </c>
      <c r="D74" s="4">
        <f>106417/12</f>
        <v>8868.0833333333339</v>
      </c>
      <c r="E74" s="4">
        <f>106417/12</f>
        <v>8868.0833333333339</v>
      </c>
      <c r="F74" s="4">
        <f>109609/12</f>
        <v>9134.0833333333339</v>
      </c>
      <c r="G74" s="4">
        <f>109609/12</f>
        <v>9134.0833333333339</v>
      </c>
      <c r="H74" s="4">
        <f>112898/12</f>
        <v>9408.1666666666661</v>
      </c>
      <c r="I74" s="4">
        <f>112898/12</f>
        <v>9408.1666666666661</v>
      </c>
      <c r="J74" s="4">
        <f>116284/12</f>
        <v>9690.3333333333339</v>
      </c>
      <c r="K74" s="4">
        <f>116284/12</f>
        <v>9690.3333333333339</v>
      </c>
      <c r="L74" s="4">
        <f>116284/12</f>
        <v>9690.3333333333339</v>
      </c>
      <c r="M74" s="4">
        <f>126564/12</f>
        <v>10547</v>
      </c>
      <c r="N74" s="4">
        <f>126564/12</f>
        <v>10547</v>
      </c>
      <c r="O74" s="4">
        <f>130361/12</f>
        <v>10863.416666666666</v>
      </c>
      <c r="P74" s="4">
        <f>130361/12</f>
        <v>10863.416666666666</v>
      </c>
      <c r="Q74" s="4">
        <f>130361/12</f>
        <v>10863.416666666666</v>
      </c>
      <c r="R74" s="4">
        <f>134271/12</f>
        <v>11189.25</v>
      </c>
      <c r="S74" s="4">
        <f>134271/12</f>
        <v>11189.25</v>
      </c>
      <c r="T74" s="4">
        <f>138299/12</f>
        <v>11524.916666666666</v>
      </c>
      <c r="U74" s="4">
        <f>138299/12</f>
        <v>11524.916666666666</v>
      </c>
      <c r="V74" s="4">
        <f>138299/12</f>
        <v>11524.916666666666</v>
      </c>
      <c r="W74" s="4">
        <f>142448/12</f>
        <v>11870.666666666666</v>
      </c>
      <c r="X74" s="4">
        <f>142448/12</f>
        <v>11870.666666666666</v>
      </c>
      <c r="Y74" s="4">
        <f>142448/12</f>
        <v>11870.666666666666</v>
      </c>
      <c r="Z74" s="4">
        <f>146722/12</f>
        <v>12226.833333333334</v>
      </c>
      <c r="AA74" s="4">
        <f>146722/12</f>
        <v>12226.833333333334</v>
      </c>
      <c r="AB74" s="4">
        <f>149810/12</f>
        <v>12484.166666666666</v>
      </c>
      <c r="AC74" s="5" t="s">
        <v>159</v>
      </c>
    </row>
    <row r="75" spans="1:29" ht="15.5" x14ac:dyDescent="0.35">
      <c r="A75" s="2" t="s">
        <v>161</v>
      </c>
      <c r="B75" s="1" t="s">
        <v>162</v>
      </c>
      <c r="C75" s="4">
        <f>48451/12</f>
        <v>4037.5833333333335</v>
      </c>
      <c r="D75" s="4">
        <f>49905/12</f>
        <v>4158.75</v>
      </c>
      <c r="E75" s="4">
        <f>49905/12</f>
        <v>4158.75</v>
      </c>
      <c r="F75" s="4">
        <f>51402/12</f>
        <v>4283.5</v>
      </c>
      <c r="G75" s="4">
        <f>51402/12</f>
        <v>4283.5</v>
      </c>
      <c r="H75" s="4">
        <f>52944/12</f>
        <v>4412</v>
      </c>
      <c r="I75" s="4">
        <f>52944/12</f>
        <v>4412</v>
      </c>
      <c r="J75" s="4">
        <f>54532/12</f>
        <v>4544.333333333333</v>
      </c>
      <c r="K75" s="4">
        <f>54532/12</f>
        <v>4544.333333333333</v>
      </c>
      <c r="L75" s="4">
        <f>54532/12</f>
        <v>4544.333333333333</v>
      </c>
      <c r="M75" s="4">
        <f>59353/12</f>
        <v>4946.083333333333</v>
      </c>
      <c r="N75" s="4">
        <f>59353/12</f>
        <v>4946.083333333333</v>
      </c>
      <c r="O75" s="4">
        <f>61133/12</f>
        <v>5094.416666666667</v>
      </c>
      <c r="P75" s="4">
        <f>61133/12</f>
        <v>5094.416666666667</v>
      </c>
      <c r="Q75" s="4">
        <f>61133/12</f>
        <v>5094.416666666667</v>
      </c>
      <c r="R75" s="4">
        <f>62967/12</f>
        <v>5247.25</v>
      </c>
      <c r="S75" s="4">
        <f>62967/12</f>
        <v>5247.25</v>
      </c>
      <c r="T75" s="4">
        <f>64856/12</f>
        <v>5404.666666666667</v>
      </c>
      <c r="U75" s="4">
        <f>64856/12</f>
        <v>5404.666666666667</v>
      </c>
      <c r="V75" s="4">
        <f>64856/12</f>
        <v>5404.666666666667</v>
      </c>
      <c r="W75" s="4">
        <f>66802/12</f>
        <v>5566.833333333333</v>
      </c>
      <c r="X75" s="4">
        <f>66802/12</f>
        <v>5566.833333333333</v>
      </c>
      <c r="Y75" s="4">
        <f>66802/12</f>
        <v>5566.833333333333</v>
      </c>
      <c r="Z75" s="4">
        <f>68806/12</f>
        <v>5733.833333333333</v>
      </c>
      <c r="AA75" s="4">
        <f>68806/12</f>
        <v>5733.833333333333</v>
      </c>
      <c r="AB75" s="4">
        <f>70254/12</f>
        <v>5854.5</v>
      </c>
      <c r="AC75" s="5" t="s">
        <v>161</v>
      </c>
    </row>
    <row r="76" spans="1:29" ht="15.5" x14ac:dyDescent="0.35">
      <c r="A76" s="2" t="s">
        <v>163</v>
      </c>
      <c r="B76" s="1" t="s">
        <v>164</v>
      </c>
      <c r="C76" s="4">
        <f>62702/12</f>
        <v>5225.166666666667</v>
      </c>
      <c r="D76" s="4">
        <f>64583/12</f>
        <v>5381.916666666667</v>
      </c>
      <c r="E76" s="4">
        <f>64583/12</f>
        <v>5381.916666666667</v>
      </c>
      <c r="F76" s="4">
        <f>66521/12</f>
        <v>5543.416666666667</v>
      </c>
      <c r="G76" s="4">
        <f>66521/12</f>
        <v>5543.416666666667</v>
      </c>
      <c r="H76" s="4">
        <f>68516/12</f>
        <v>5709.666666666667</v>
      </c>
      <c r="I76" s="4">
        <f>68516/12</f>
        <v>5709.666666666667</v>
      </c>
      <c r="J76" s="4">
        <f>70572/12</f>
        <v>5881</v>
      </c>
      <c r="K76" s="4">
        <f>70572/12</f>
        <v>5881</v>
      </c>
      <c r="L76" s="4">
        <f>70572/12</f>
        <v>5881</v>
      </c>
      <c r="M76" s="4">
        <f>76810/12</f>
        <v>6400.833333333333</v>
      </c>
      <c r="N76" s="4">
        <f>76810/12</f>
        <v>6400.833333333333</v>
      </c>
      <c r="O76" s="4">
        <f>79115/12</f>
        <v>6592.916666666667</v>
      </c>
      <c r="P76" s="4">
        <f>79115/12</f>
        <v>6592.916666666667</v>
      </c>
      <c r="Q76" s="4">
        <f>79115/12</f>
        <v>6592.916666666667</v>
      </c>
      <c r="R76" s="4">
        <f>81488/12</f>
        <v>6790.666666666667</v>
      </c>
      <c r="S76" s="4">
        <f>81488/12</f>
        <v>6790.666666666667</v>
      </c>
      <c r="T76" s="4">
        <f>83933/12</f>
        <v>6994.416666666667</v>
      </c>
      <c r="U76" s="4">
        <f>83933/12</f>
        <v>6994.416666666667</v>
      </c>
      <c r="V76" s="4">
        <f>83933/12</f>
        <v>6994.416666666667</v>
      </c>
      <c r="W76" s="4">
        <f>86451/12</f>
        <v>7204.25</v>
      </c>
      <c r="X76" s="4">
        <f>86451/12</f>
        <v>7204.25</v>
      </c>
      <c r="Y76" s="4">
        <f>86451/12</f>
        <v>7204.25</v>
      </c>
      <c r="Z76" s="4">
        <f>89044/12</f>
        <v>7420.333333333333</v>
      </c>
      <c r="AA76" s="4">
        <f>89044/12</f>
        <v>7420.333333333333</v>
      </c>
      <c r="AB76" s="4">
        <f>90918/12</f>
        <v>7576.5</v>
      </c>
      <c r="AC76" s="5" t="s">
        <v>165</v>
      </c>
    </row>
    <row r="77" spans="1:29" ht="15.5" x14ac:dyDescent="0.35">
      <c r="A77" s="2" t="s">
        <v>166</v>
      </c>
      <c r="B77" s="1" t="s">
        <v>167</v>
      </c>
      <c r="C77" s="4">
        <f>64223/12</f>
        <v>5351.916666666667</v>
      </c>
      <c r="D77" s="4">
        <f>66149/12</f>
        <v>5512.416666666667</v>
      </c>
      <c r="E77" s="4">
        <f>66149/12</f>
        <v>5512.416666666667</v>
      </c>
      <c r="F77" s="4">
        <f>68134/12</f>
        <v>5677.833333333333</v>
      </c>
      <c r="G77" s="4">
        <f>68134/12</f>
        <v>5677.833333333333</v>
      </c>
      <c r="H77" s="4">
        <f>70178/12</f>
        <v>5848.166666666667</v>
      </c>
      <c r="I77" s="4">
        <f>70178/12</f>
        <v>5848.166666666667</v>
      </c>
      <c r="J77" s="4">
        <f>72283/12</f>
        <v>6023.583333333333</v>
      </c>
      <c r="K77" s="4">
        <f>72283/12</f>
        <v>6023.583333333333</v>
      </c>
      <c r="L77" s="4">
        <f>72283/12</f>
        <v>6023.583333333333</v>
      </c>
      <c r="M77" s="4">
        <f>78673/12</f>
        <v>6556.083333333333</v>
      </c>
      <c r="N77" s="4">
        <f>78673/12</f>
        <v>6556.083333333333</v>
      </c>
      <c r="O77" s="4">
        <f>81033/12</f>
        <v>6752.75</v>
      </c>
      <c r="P77" s="4">
        <f>81033/12</f>
        <v>6752.75</v>
      </c>
      <c r="Q77" s="4">
        <f>81033/12</f>
        <v>6752.75</v>
      </c>
      <c r="R77" s="4">
        <f>83464/12</f>
        <v>6955.333333333333</v>
      </c>
      <c r="S77" s="4">
        <f>83464/12</f>
        <v>6955.333333333333</v>
      </c>
      <c r="T77" s="4">
        <f>85968/12</f>
        <v>7164</v>
      </c>
      <c r="U77" s="4">
        <f>85968/12</f>
        <v>7164</v>
      </c>
      <c r="V77" s="4">
        <f>85968/12</f>
        <v>7164</v>
      </c>
      <c r="W77" s="4">
        <f>88547/12</f>
        <v>7378.916666666667</v>
      </c>
      <c r="X77" s="4">
        <f>88547/12</f>
        <v>7378.916666666667</v>
      </c>
      <c r="Y77" s="4">
        <f>88547/12</f>
        <v>7378.916666666667</v>
      </c>
      <c r="Z77" s="4">
        <f>91203/12</f>
        <v>7600.25</v>
      </c>
      <c r="AA77" s="4">
        <f>91203/12</f>
        <v>7600.25</v>
      </c>
      <c r="AB77" s="4">
        <f>93123/12</f>
        <v>7760.25</v>
      </c>
      <c r="AC77" s="5" t="s">
        <v>168</v>
      </c>
    </row>
    <row r="78" spans="1:29" ht="15.5" x14ac:dyDescent="0.35">
      <c r="A78" s="2" t="s">
        <v>169</v>
      </c>
      <c r="B78" s="1" t="s">
        <v>170</v>
      </c>
      <c r="C78" s="4">
        <f>69038/12</f>
        <v>5753.166666666667</v>
      </c>
      <c r="D78" s="4">
        <f>71109/12</f>
        <v>5925.75</v>
      </c>
      <c r="E78" s="4">
        <f>71109/12</f>
        <v>5925.75</v>
      </c>
      <c r="F78" s="4">
        <f>73242/12</f>
        <v>6103.5</v>
      </c>
      <c r="G78" s="4">
        <f>73242/12</f>
        <v>6103.5</v>
      </c>
      <c r="H78" s="4">
        <f>75440/12</f>
        <v>6286.666666666667</v>
      </c>
      <c r="I78" s="4">
        <f>75440/12</f>
        <v>6286.666666666667</v>
      </c>
      <c r="J78" s="4">
        <f>77703/12</f>
        <v>6475.25</v>
      </c>
      <c r="K78" s="4">
        <f>77703/12</f>
        <v>6475.25</v>
      </c>
      <c r="L78" s="4">
        <f>77703/12</f>
        <v>6475.25</v>
      </c>
      <c r="M78" s="4">
        <f>84571/12</f>
        <v>7047.583333333333</v>
      </c>
      <c r="N78" s="4">
        <f>84571/12</f>
        <v>7047.583333333333</v>
      </c>
      <c r="O78" s="4">
        <f>87109/12</f>
        <v>7259.083333333333</v>
      </c>
      <c r="P78" s="4">
        <f>87109/12</f>
        <v>7259.083333333333</v>
      </c>
      <c r="Q78" s="4">
        <f>87109/12</f>
        <v>7259.083333333333</v>
      </c>
      <c r="R78" s="4">
        <f>89722/12</f>
        <v>7476.833333333333</v>
      </c>
      <c r="S78" s="4">
        <f>89722/12</f>
        <v>7476.833333333333</v>
      </c>
      <c r="T78" s="4">
        <f>92414/12</f>
        <v>7701.166666666667</v>
      </c>
      <c r="U78" s="4">
        <f>92414/12</f>
        <v>7701.166666666667</v>
      </c>
      <c r="V78" s="4">
        <f>92414/12</f>
        <v>7701.166666666667</v>
      </c>
      <c r="W78" s="4">
        <f>95186/12</f>
        <v>7932.166666666667</v>
      </c>
      <c r="X78" s="4">
        <f>95186/12</f>
        <v>7932.166666666667</v>
      </c>
      <c r="Y78" s="4">
        <f>95186/12</f>
        <v>7932.166666666667</v>
      </c>
      <c r="Z78" s="4">
        <f>98041/12</f>
        <v>8170.083333333333</v>
      </c>
      <c r="AA78" s="4">
        <f>98041/12</f>
        <v>8170.083333333333</v>
      </c>
      <c r="AB78" s="4">
        <f>100105/12</f>
        <v>8342.0833333333339</v>
      </c>
      <c r="AC78" s="5" t="s">
        <v>171</v>
      </c>
    </row>
    <row r="79" spans="1:29" ht="15.5" x14ac:dyDescent="0.35">
      <c r="A79" s="2" t="s">
        <v>172</v>
      </c>
      <c r="B79" s="1" t="s">
        <v>173</v>
      </c>
      <c r="C79" s="4">
        <f>57983/12</f>
        <v>4831.916666666667</v>
      </c>
      <c r="D79" s="4">
        <f>59723/12</f>
        <v>4976.916666666667</v>
      </c>
      <c r="E79" s="4">
        <f>59723/12</f>
        <v>4976.916666666667</v>
      </c>
      <c r="F79" s="4">
        <f>61514/12</f>
        <v>5126.166666666667</v>
      </c>
      <c r="G79" s="4">
        <f>61514/12</f>
        <v>5126.166666666667</v>
      </c>
      <c r="H79" s="4">
        <f>63360/12</f>
        <v>5280</v>
      </c>
      <c r="I79" s="4">
        <f>63360/12</f>
        <v>5280</v>
      </c>
      <c r="J79" s="4">
        <f>65260/12</f>
        <v>5438.333333333333</v>
      </c>
      <c r="K79" s="4">
        <f>65260/12</f>
        <v>5438.333333333333</v>
      </c>
      <c r="L79" s="4">
        <f>65260/12</f>
        <v>5438.333333333333</v>
      </c>
      <c r="M79" s="4">
        <f>72054/12</f>
        <v>6004.5</v>
      </c>
      <c r="N79" s="4">
        <f>72054/12</f>
        <v>6004.5</v>
      </c>
      <c r="O79" s="4">
        <f>74215/12</f>
        <v>6184.583333333333</v>
      </c>
      <c r="P79" s="4">
        <f>74215/12</f>
        <v>6184.583333333333</v>
      </c>
      <c r="Q79" s="4">
        <f>74215/12</f>
        <v>6184.583333333333</v>
      </c>
      <c r="R79" s="4">
        <f>76442/12</f>
        <v>6370.166666666667</v>
      </c>
      <c r="S79" s="4">
        <f>76442/12</f>
        <v>6370.166666666667</v>
      </c>
      <c r="T79" s="4">
        <f>78735/12</f>
        <v>6561.25</v>
      </c>
      <c r="U79" s="4">
        <f>78735/12</f>
        <v>6561.25</v>
      </c>
      <c r="V79" s="4">
        <f>78735/12</f>
        <v>6561.25</v>
      </c>
      <c r="W79" s="4">
        <f>81097/12</f>
        <v>6758.083333333333</v>
      </c>
      <c r="X79" s="4">
        <f>81097/12</f>
        <v>6758.083333333333</v>
      </c>
      <c r="Y79" s="4">
        <f>81097/12</f>
        <v>6758.083333333333</v>
      </c>
      <c r="Z79" s="4">
        <f>83530/12</f>
        <v>6960.833333333333</v>
      </c>
      <c r="AA79" s="4">
        <f>83530/12</f>
        <v>6960.833333333333</v>
      </c>
      <c r="AB79" s="4">
        <f>86124/12</f>
        <v>7177</v>
      </c>
      <c r="AC79" s="5" t="s">
        <v>174</v>
      </c>
    </row>
    <row r="80" spans="1:29" ht="15.5" x14ac:dyDescent="0.35">
      <c r="A80" s="2" t="s">
        <v>175</v>
      </c>
      <c r="B80" s="1" t="s">
        <v>176</v>
      </c>
      <c r="C80" s="4">
        <f>65759/12</f>
        <v>5479.916666666667</v>
      </c>
      <c r="D80" s="4">
        <f>67732/12</f>
        <v>5644.333333333333</v>
      </c>
      <c r="E80" s="4">
        <f>67732/12</f>
        <v>5644.333333333333</v>
      </c>
      <c r="F80" s="4">
        <f>69764/12</f>
        <v>5813.666666666667</v>
      </c>
      <c r="G80" s="4">
        <f>69764/12</f>
        <v>5813.666666666667</v>
      </c>
      <c r="H80" s="4">
        <f>71857/12</f>
        <v>5988.083333333333</v>
      </c>
      <c r="I80" s="4">
        <f>71857/12</f>
        <v>5988.083333333333</v>
      </c>
      <c r="J80" s="4">
        <f>74012/12</f>
        <v>6167.666666666667</v>
      </c>
      <c r="K80" s="4">
        <f>74012/12</f>
        <v>6167.666666666667</v>
      </c>
      <c r="L80" s="4">
        <f>74012/12</f>
        <v>6167.666666666667</v>
      </c>
      <c r="M80" s="4">
        <f>82920/12</f>
        <v>6910</v>
      </c>
      <c r="N80" s="4">
        <f>82920/12</f>
        <v>6910</v>
      </c>
      <c r="O80" s="4">
        <f>85407/12</f>
        <v>7117.25</v>
      </c>
      <c r="P80" s="4">
        <f>85407/12</f>
        <v>7117.25</v>
      </c>
      <c r="Q80" s="4">
        <f>85407/12</f>
        <v>7117.25</v>
      </c>
      <c r="R80" s="4">
        <f>87969/12</f>
        <v>7330.75</v>
      </c>
      <c r="S80" s="4">
        <f>87969/12</f>
        <v>7330.75</v>
      </c>
      <c r="T80" s="4">
        <f>90608/12</f>
        <v>7550.666666666667</v>
      </c>
      <c r="U80" s="4">
        <f>90608/12</f>
        <v>7550.666666666667</v>
      </c>
      <c r="V80" s="4">
        <f>90608/12</f>
        <v>7550.666666666667</v>
      </c>
      <c r="W80" s="4">
        <f>93327/12</f>
        <v>7777.25</v>
      </c>
      <c r="X80" s="4">
        <f>93327/12</f>
        <v>7777.25</v>
      </c>
      <c r="Y80" s="4">
        <f>93327/12</f>
        <v>7777.25</v>
      </c>
      <c r="Z80" s="4">
        <f>96126/12</f>
        <v>8010.5</v>
      </c>
      <c r="AA80" s="4">
        <f>96126/12</f>
        <v>8010.5</v>
      </c>
      <c r="AB80" s="4">
        <f>100080/12</f>
        <v>8340</v>
      </c>
      <c r="AC80" s="5" t="s">
        <v>177</v>
      </c>
    </row>
    <row r="81" spans="1:29" ht="15.5" x14ac:dyDescent="0.35">
      <c r="A81" s="2" t="s">
        <v>178</v>
      </c>
      <c r="B81" s="1" t="s">
        <v>179</v>
      </c>
      <c r="C81" s="4">
        <f>77843/12</f>
        <v>6486.916666666667</v>
      </c>
      <c r="D81" s="4">
        <f>80179/12</f>
        <v>6681.583333333333</v>
      </c>
      <c r="E81" s="4">
        <f>80179/12</f>
        <v>6681.583333333333</v>
      </c>
      <c r="F81" s="4">
        <f>82584/12</f>
        <v>6882</v>
      </c>
      <c r="G81" s="4">
        <f>82584/12</f>
        <v>6882</v>
      </c>
      <c r="H81" s="4">
        <f>85061/12</f>
        <v>7088.416666666667</v>
      </c>
      <c r="I81" s="4">
        <f>85061/12</f>
        <v>7088.416666666667</v>
      </c>
      <c r="J81" s="4">
        <f>87613/12</f>
        <v>7301.083333333333</v>
      </c>
      <c r="K81" s="4">
        <f>87613/12</f>
        <v>7301.083333333333</v>
      </c>
      <c r="L81" s="4">
        <f>87613/12</f>
        <v>7301.083333333333</v>
      </c>
      <c r="M81" s="4">
        <f>95358/12</f>
        <v>7946.5</v>
      </c>
      <c r="N81" s="4">
        <f>95358/12</f>
        <v>7946.5</v>
      </c>
      <c r="O81" s="4">
        <f>98219/12</f>
        <v>8184.916666666667</v>
      </c>
      <c r="P81" s="4">
        <f>98219/12</f>
        <v>8184.916666666667</v>
      </c>
      <c r="Q81" s="4">
        <f>98219/12</f>
        <v>8184.916666666667</v>
      </c>
      <c r="R81" s="4">
        <f>101165/12</f>
        <v>8430.4166666666661</v>
      </c>
      <c r="S81" s="4">
        <f>101165/12</f>
        <v>8430.4166666666661</v>
      </c>
      <c r="T81" s="4">
        <f>104200/12</f>
        <v>8683.3333333333339</v>
      </c>
      <c r="U81" s="4">
        <f>104200/12</f>
        <v>8683.3333333333339</v>
      </c>
      <c r="V81" s="4">
        <f>104200/12</f>
        <v>8683.3333333333339</v>
      </c>
      <c r="W81" s="4">
        <f>107326/12</f>
        <v>8943.8333333333339</v>
      </c>
      <c r="X81" s="4">
        <f>107326/12</f>
        <v>8943.8333333333339</v>
      </c>
      <c r="Y81" s="4">
        <f>107326/12</f>
        <v>8943.8333333333339</v>
      </c>
      <c r="Z81" s="4">
        <f>110546/12</f>
        <v>9212.1666666666661</v>
      </c>
      <c r="AA81" s="4">
        <f>110546/12</f>
        <v>9212.1666666666661</v>
      </c>
      <c r="AB81" s="4">
        <f>112873/12</f>
        <v>9406.0833333333339</v>
      </c>
      <c r="AC81" s="5" t="s">
        <v>178</v>
      </c>
    </row>
    <row r="82" spans="1:29" ht="15.5" x14ac:dyDescent="0.35">
      <c r="A82" s="2" t="s">
        <v>180</v>
      </c>
      <c r="B82" s="1" t="s">
        <v>181</v>
      </c>
      <c r="C82" s="4">
        <f>92824/12</f>
        <v>7735.333333333333</v>
      </c>
      <c r="D82" s="4">
        <f>95608/12</f>
        <v>7967.333333333333</v>
      </c>
      <c r="E82" s="4">
        <f>95608/12</f>
        <v>7967.333333333333</v>
      </c>
      <c r="F82" s="4">
        <f>98477/12</f>
        <v>8206.4166666666661</v>
      </c>
      <c r="G82" s="4">
        <f>98477/12</f>
        <v>8206.4166666666661</v>
      </c>
      <c r="H82" s="4">
        <f>101431/12</f>
        <v>8452.5833333333339</v>
      </c>
      <c r="I82" s="4">
        <f>101431/12</f>
        <v>8452.5833333333339</v>
      </c>
      <c r="J82" s="4">
        <f>104474/12</f>
        <v>8706.1666666666661</v>
      </c>
      <c r="K82" s="4">
        <f>104474/12</f>
        <v>8706.1666666666661</v>
      </c>
      <c r="L82" s="4">
        <f>104474/12</f>
        <v>8706.1666666666661</v>
      </c>
      <c r="M82" s="4">
        <f>113709/12</f>
        <v>9475.75</v>
      </c>
      <c r="N82" s="4">
        <f>113709/12</f>
        <v>9475.75</v>
      </c>
      <c r="O82" s="4">
        <f>117120/12</f>
        <v>9760</v>
      </c>
      <c r="P82" s="4">
        <f>117120/12</f>
        <v>9760</v>
      </c>
      <c r="Q82" s="4">
        <f>117120/12</f>
        <v>9760</v>
      </c>
      <c r="R82" s="4">
        <f>120634/12</f>
        <v>10052.833333333334</v>
      </c>
      <c r="S82" s="4">
        <f>120634/12</f>
        <v>10052.833333333334</v>
      </c>
      <c r="T82" s="4">
        <f>124253/12</f>
        <v>10354.416666666666</v>
      </c>
      <c r="U82" s="4">
        <f>124253/12</f>
        <v>10354.416666666666</v>
      </c>
      <c r="V82" s="4">
        <f>124253/12</f>
        <v>10354.416666666666</v>
      </c>
      <c r="W82" s="4">
        <f>127980/12</f>
        <v>10665</v>
      </c>
      <c r="X82" s="4">
        <f>127980/12</f>
        <v>10665</v>
      </c>
      <c r="Y82" s="4">
        <f>127980/12</f>
        <v>10665</v>
      </c>
      <c r="Z82" s="4">
        <f>131820/12</f>
        <v>10985</v>
      </c>
      <c r="AA82" s="4">
        <f>131820/12</f>
        <v>10985</v>
      </c>
      <c r="AB82" s="4">
        <f>134594/12</f>
        <v>11216.166666666666</v>
      </c>
      <c r="AC82" s="5" t="s">
        <v>180</v>
      </c>
    </row>
    <row r="83" spans="1:29" ht="15.5" x14ac:dyDescent="0.35">
      <c r="A83" s="2" t="s">
        <v>182</v>
      </c>
      <c r="B83" s="1" t="s">
        <v>183</v>
      </c>
      <c r="C83" s="4">
        <f>49119/12</f>
        <v>4093.25</v>
      </c>
      <c r="D83" s="4">
        <f>50592/12</f>
        <v>4216</v>
      </c>
      <c r="E83" s="4">
        <f>50592/12</f>
        <v>4216</v>
      </c>
      <c r="F83" s="4">
        <f>52110/12</f>
        <v>4342.5</v>
      </c>
      <c r="G83" s="4">
        <f>52110/12</f>
        <v>4342.5</v>
      </c>
      <c r="H83" s="4">
        <f>53673/12</f>
        <v>4472.75</v>
      </c>
      <c r="I83" s="4">
        <f>53673/12</f>
        <v>4472.75</v>
      </c>
      <c r="J83" s="4">
        <f>55283/12</f>
        <v>4606.916666666667</v>
      </c>
      <c r="K83" s="4">
        <f>55283/12</f>
        <v>4606.916666666667</v>
      </c>
      <c r="L83" s="4">
        <f>55283/12</f>
        <v>4606.916666666667</v>
      </c>
      <c r="M83" s="4">
        <f>60547/12</f>
        <v>5045.583333333333</v>
      </c>
      <c r="N83" s="4">
        <f>60547/12</f>
        <v>5045.583333333333</v>
      </c>
      <c r="O83" s="4">
        <f>62364/12</f>
        <v>5197</v>
      </c>
      <c r="P83" s="4">
        <f>62364/12</f>
        <v>5197</v>
      </c>
      <c r="Q83" s="4">
        <f>62364/12</f>
        <v>5197</v>
      </c>
      <c r="R83" s="4">
        <f>64235/12</f>
        <v>5352.916666666667</v>
      </c>
      <c r="S83" s="4">
        <f>64235/12</f>
        <v>5352.916666666667</v>
      </c>
      <c r="T83" s="4">
        <f>66162/12</f>
        <v>5513.5</v>
      </c>
      <c r="U83" s="4">
        <f>66162/12</f>
        <v>5513.5</v>
      </c>
      <c r="V83" s="4">
        <f>66162/12</f>
        <v>5513.5</v>
      </c>
      <c r="W83" s="4">
        <f>68147/12</f>
        <v>5678.916666666667</v>
      </c>
      <c r="X83" s="4">
        <f>68147/12</f>
        <v>5678.916666666667</v>
      </c>
      <c r="Y83" s="4">
        <f>68147/12</f>
        <v>5678.916666666667</v>
      </c>
      <c r="Z83" s="4">
        <f>70191/12</f>
        <v>5849.25</v>
      </c>
      <c r="AA83" s="4">
        <f>70191/12</f>
        <v>5849.25</v>
      </c>
      <c r="AB83" s="4">
        <f>71976/12</f>
        <v>5998</v>
      </c>
      <c r="AC83" s="5" t="s">
        <v>182</v>
      </c>
    </row>
    <row r="84" spans="1:29" ht="15" customHeight="1" x14ac:dyDescent="0.35">
      <c r="A84" s="2" t="s">
        <v>184</v>
      </c>
      <c r="B84" s="1" t="s">
        <v>185</v>
      </c>
      <c r="C84" s="4">
        <f>57153/12</f>
        <v>4762.75</v>
      </c>
      <c r="D84" s="4">
        <f>58867/12</f>
        <v>4905.583333333333</v>
      </c>
      <c r="E84" s="4">
        <f>58867/12</f>
        <v>4905.583333333333</v>
      </c>
      <c r="F84" s="4">
        <f>60633/12</f>
        <v>5052.75</v>
      </c>
      <c r="G84" s="4">
        <f>60633/12</f>
        <v>5052.75</v>
      </c>
      <c r="H84" s="4">
        <f>62452/12</f>
        <v>5204.333333333333</v>
      </c>
      <c r="I84" s="4">
        <f>62452/12</f>
        <v>5204.333333333333</v>
      </c>
      <c r="J84" s="4">
        <f>64326/12</f>
        <v>5360.5</v>
      </c>
      <c r="K84" s="4">
        <f>64326/12</f>
        <v>5360.5</v>
      </c>
      <c r="L84" s="4">
        <f>64326/12</f>
        <v>5360.5</v>
      </c>
      <c r="M84" s="4">
        <f>70012/12</f>
        <v>5834.333333333333</v>
      </c>
      <c r="N84" s="4">
        <f>70012/12</f>
        <v>5834.333333333333</v>
      </c>
      <c r="O84" s="4">
        <f>72112/12</f>
        <v>6009.333333333333</v>
      </c>
      <c r="P84" s="4">
        <f>72112/12</f>
        <v>6009.333333333333</v>
      </c>
      <c r="Q84" s="4">
        <f>72112/12</f>
        <v>6009.333333333333</v>
      </c>
      <c r="R84" s="4">
        <f>74276/12</f>
        <v>6189.666666666667</v>
      </c>
      <c r="S84" s="4">
        <f>74276/12</f>
        <v>6189.666666666667</v>
      </c>
      <c r="T84" s="4">
        <f>76504/12</f>
        <v>6375.333333333333</v>
      </c>
      <c r="U84" s="4">
        <f>76504/12</f>
        <v>6375.333333333333</v>
      </c>
      <c r="V84" s="4">
        <f>76504/12</f>
        <v>6375.333333333333</v>
      </c>
      <c r="W84" s="4">
        <f>78799/12</f>
        <v>6566.583333333333</v>
      </c>
      <c r="X84" s="4">
        <f>78799/12</f>
        <v>6566.583333333333</v>
      </c>
      <c r="Y84" s="4">
        <f>78799/12</f>
        <v>6566.583333333333</v>
      </c>
      <c r="Z84" s="4">
        <f>81163/12</f>
        <v>6763.583333333333</v>
      </c>
      <c r="AA84" s="4">
        <f>81163/12</f>
        <v>6763.583333333333</v>
      </c>
      <c r="AB84" s="4">
        <f>82871/12</f>
        <v>6905.916666666667</v>
      </c>
      <c r="AC84" s="5" t="s">
        <v>184</v>
      </c>
    </row>
    <row r="85" spans="1:29" ht="15.5" x14ac:dyDescent="0.35">
      <c r="A85" s="2" t="s">
        <v>507</v>
      </c>
      <c r="B85" s="1" t="s">
        <v>508</v>
      </c>
      <c r="C85" s="4">
        <f>85113/12</f>
        <v>7092.75</v>
      </c>
      <c r="D85" s="4">
        <f>87666/12</f>
        <v>7305.5</v>
      </c>
      <c r="E85" s="4">
        <f>87666/12</f>
        <v>7305.5</v>
      </c>
      <c r="F85" s="4">
        <f>90296/12</f>
        <v>7524.666666666667</v>
      </c>
      <c r="G85" s="4">
        <f>90296/12</f>
        <v>7524.666666666667</v>
      </c>
      <c r="H85" s="4">
        <f>93005/12</f>
        <v>7750.416666666667</v>
      </c>
      <c r="I85" s="4">
        <f>93005/12</f>
        <v>7750.416666666667</v>
      </c>
      <c r="J85" s="4">
        <f>95795/12</f>
        <v>7982.916666666667</v>
      </c>
      <c r="K85" s="4">
        <f>95795/12</f>
        <v>7982.916666666667</v>
      </c>
      <c r="L85" s="4">
        <f>95795/12</f>
        <v>7982.916666666667</v>
      </c>
      <c r="M85" s="4">
        <f>104263/12</f>
        <v>8688.5833333333339</v>
      </c>
      <c r="N85" s="4">
        <f>104263/12</f>
        <v>8688.5833333333339</v>
      </c>
      <c r="O85" s="4">
        <f>107391/12</f>
        <v>8949.25</v>
      </c>
      <c r="P85" s="4">
        <f>107391/12</f>
        <v>8949.25</v>
      </c>
      <c r="Q85" s="4">
        <f>107391/12</f>
        <v>8949.25</v>
      </c>
      <c r="R85" s="4">
        <f>110613/12</f>
        <v>9217.75</v>
      </c>
      <c r="S85" s="4">
        <f>110613/12</f>
        <v>9217.75</v>
      </c>
      <c r="T85" s="4">
        <f>113931/12</f>
        <v>9494.25</v>
      </c>
      <c r="U85" s="4">
        <f>113931/12</f>
        <v>9494.25</v>
      </c>
      <c r="V85" s="4">
        <f>113931/12</f>
        <v>9494.25</v>
      </c>
      <c r="W85" s="4">
        <f>117349/12</f>
        <v>9779.0833333333339</v>
      </c>
      <c r="X85" s="4">
        <f>117349/12</f>
        <v>9779.0833333333339</v>
      </c>
      <c r="Y85" s="4">
        <f>117349/12</f>
        <v>9779.0833333333339</v>
      </c>
      <c r="Z85" s="4">
        <f>120870/12</f>
        <v>10072.5</v>
      </c>
      <c r="AA85" s="4">
        <f>120870/12</f>
        <v>10072.5</v>
      </c>
      <c r="AB85" s="4">
        <f>123414/12</f>
        <v>10284.5</v>
      </c>
      <c r="AC85" s="5"/>
    </row>
    <row r="86" spans="1:29" ht="15.5" x14ac:dyDescent="0.35">
      <c r="A86" s="2" t="s">
        <v>186</v>
      </c>
      <c r="B86" s="1" t="s">
        <v>187</v>
      </c>
      <c r="C86" s="4">
        <f>108138/12</f>
        <v>9011.5</v>
      </c>
      <c r="D86" s="4">
        <f>111382/12</f>
        <v>9281.8333333333339</v>
      </c>
      <c r="E86" s="4">
        <f>111382/12</f>
        <v>9281.8333333333339</v>
      </c>
      <c r="F86" s="4">
        <f>114723/12</f>
        <v>9560.25</v>
      </c>
      <c r="G86" s="4">
        <f>114723/12</f>
        <v>9560.25</v>
      </c>
      <c r="H86" s="4">
        <f>118165/12</f>
        <v>9847.0833333333339</v>
      </c>
      <c r="I86" s="4">
        <f>118165/12</f>
        <v>9847.0833333333339</v>
      </c>
      <c r="J86" s="4">
        <f>121710/12</f>
        <v>10142.5</v>
      </c>
      <c r="K86" s="4">
        <f>121710/12</f>
        <v>10142.5</v>
      </c>
      <c r="L86" s="4">
        <f>121710/12</f>
        <v>10142.5</v>
      </c>
      <c r="M86" s="4">
        <f>132469/12</f>
        <v>11039.083333333334</v>
      </c>
      <c r="N86" s="4">
        <f>132469/12</f>
        <v>11039.083333333334</v>
      </c>
      <c r="O86" s="4">
        <f>136443/12</f>
        <v>11370.25</v>
      </c>
      <c r="P86" s="4">
        <f>136443/12</f>
        <v>11370.25</v>
      </c>
      <c r="Q86" s="4">
        <f>136443/12</f>
        <v>11370.25</v>
      </c>
      <c r="R86" s="4">
        <f>140536/12</f>
        <v>11711.333333333334</v>
      </c>
      <c r="S86" s="4">
        <f>140536/12</f>
        <v>11711.333333333334</v>
      </c>
      <c r="T86" s="4">
        <f>144752/12</f>
        <v>12062.666666666666</v>
      </c>
      <c r="U86" s="4">
        <f>144752/12</f>
        <v>12062.666666666666</v>
      </c>
      <c r="V86" s="4">
        <f>144752/12</f>
        <v>12062.666666666666</v>
      </c>
      <c r="W86" s="4">
        <f>149095/12</f>
        <v>12424.583333333334</v>
      </c>
      <c r="X86" s="4">
        <f>149095/12</f>
        <v>12424.583333333334</v>
      </c>
      <c r="Y86" s="4">
        <f>149095/12</f>
        <v>12424.583333333334</v>
      </c>
      <c r="Z86" s="4">
        <f>153567/12</f>
        <v>12797.25</v>
      </c>
      <c r="AA86" s="4">
        <f>153567/12</f>
        <v>12797.25</v>
      </c>
      <c r="AB86" s="4">
        <f>156800/12</f>
        <v>13066.666666666666</v>
      </c>
      <c r="AC86" s="5" t="s">
        <v>186</v>
      </c>
    </row>
    <row r="87" spans="1:29" ht="15.5" x14ac:dyDescent="0.35">
      <c r="A87" s="2" t="s">
        <v>188</v>
      </c>
      <c r="B87" s="1" t="s">
        <v>189</v>
      </c>
      <c r="C87" s="4">
        <f>115269/12</f>
        <v>9605.75</v>
      </c>
      <c r="D87" s="4">
        <f>118727/12</f>
        <v>9893.9166666666661</v>
      </c>
      <c r="E87" s="4">
        <f>118727/12</f>
        <v>9893.9166666666661</v>
      </c>
      <c r="F87" s="4">
        <f>122289/12</f>
        <v>10190.75</v>
      </c>
      <c r="G87" s="4">
        <f>122289/12</f>
        <v>10190.75</v>
      </c>
      <c r="H87" s="4">
        <f>125958/12</f>
        <v>10496.5</v>
      </c>
      <c r="I87" s="4">
        <f>125958/12</f>
        <v>10496.5</v>
      </c>
      <c r="J87" s="4">
        <f>129737/12</f>
        <v>10811.416666666666</v>
      </c>
      <c r="K87" s="4">
        <f>129737/12</f>
        <v>10811.416666666666</v>
      </c>
      <c r="L87" s="4">
        <f>129737/12</f>
        <v>10811.416666666666</v>
      </c>
      <c r="M87" s="4">
        <f>141205/12</f>
        <v>11767.083333333334</v>
      </c>
      <c r="N87" s="4">
        <f>141205/12</f>
        <v>11767.083333333334</v>
      </c>
      <c r="O87" s="4">
        <f>145441/12</f>
        <v>12120.083333333334</v>
      </c>
      <c r="P87" s="4">
        <f>145441/12</f>
        <v>12120.083333333334</v>
      </c>
      <c r="Q87" s="4">
        <f>145441/12</f>
        <v>12120.083333333334</v>
      </c>
      <c r="R87" s="4">
        <f>149804/12</f>
        <v>12483.666666666666</v>
      </c>
      <c r="S87" s="4">
        <f>149804/12</f>
        <v>12483.666666666666</v>
      </c>
      <c r="T87" s="4">
        <f>154298/12</f>
        <v>12858.166666666666</v>
      </c>
      <c r="U87" s="4">
        <f>154298/12</f>
        <v>12858.166666666666</v>
      </c>
      <c r="V87" s="4">
        <f>154298/12</f>
        <v>12858.166666666666</v>
      </c>
      <c r="W87" s="4">
        <f>158927/12</f>
        <v>13243.916666666666</v>
      </c>
      <c r="X87" s="4">
        <f>158927/12</f>
        <v>13243.916666666666</v>
      </c>
      <c r="Y87" s="4">
        <f>158927/12</f>
        <v>13243.916666666666</v>
      </c>
      <c r="Z87" s="4">
        <f>163695/12</f>
        <v>13641.25</v>
      </c>
      <c r="AA87" s="4">
        <f>163695/12</f>
        <v>13641.25</v>
      </c>
      <c r="AB87" s="4">
        <f>167141/12</f>
        <v>13928.416666666666</v>
      </c>
      <c r="AC87" s="5" t="s">
        <v>188</v>
      </c>
    </row>
    <row r="88" spans="1:29" ht="15.5" x14ac:dyDescent="0.35">
      <c r="A88" s="2" t="s">
        <v>190</v>
      </c>
      <c r="B88" s="1" t="s">
        <v>191</v>
      </c>
      <c r="C88" s="4">
        <f>108138/12</f>
        <v>9011.5</v>
      </c>
      <c r="D88" s="4">
        <f>111382/12</f>
        <v>9281.8333333333339</v>
      </c>
      <c r="E88" s="4">
        <f>111382/12</f>
        <v>9281.8333333333339</v>
      </c>
      <c r="F88" s="4">
        <f>114723/12</f>
        <v>9560.25</v>
      </c>
      <c r="G88" s="4">
        <f>114723/12</f>
        <v>9560.25</v>
      </c>
      <c r="H88" s="4">
        <f>118165/12</f>
        <v>9847.0833333333339</v>
      </c>
      <c r="I88" s="4">
        <f>118165/12</f>
        <v>9847.0833333333339</v>
      </c>
      <c r="J88" s="4">
        <f>121710/12</f>
        <v>10142.5</v>
      </c>
      <c r="K88" s="4">
        <f>121710/12</f>
        <v>10142.5</v>
      </c>
      <c r="L88" s="4">
        <f>121710/12</f>
        <v>10142.5</v>
      </c>
      <c r="M88" s="4">
        <f>132469/12</f>
        <v>11039.083333333334</v>
      </c>
      <c r="N88" s="4">
        <f>132469/12</f>
        <v>11039.083333333334</v>
      </c>
      <c r="O88" s="4">
        <f>136443/12</f>
        <v>11370.25</v>
      </c>
      <c r="P88" s="4">
        <f>136443/12</f>
        <v>11370.25</v>
      </c>
      <c r="Q88" s="4">
        <f>136443/12</f>
        <v>11370.25</v>
      </c>
      <c r="R88" s="4">
        <f>140536/12</f>
        <v>11711.333333333334</v>
      </c>
      <c r="S88" s="4">
        <f>140536/12</f>
        <v>11711.333333333334</v>
      </c>
      <c r="T88" s="4">
        <f>144752/12</f>
        <v>12062.666666666666</v>
      </c>
      <c r="U88" s="4">
        <f>144752/12</f>
        <v>12062.666666666666</v>
      </c>
      <c r="V88" s="4">
        <f>144752/12</f>
        <v>12062.666666666666</v>
      </c>
      <c r="W88" s="4">
        <f>149095/12</f>
        <v>12424.583333333334</v>
      </c>
      <c r="X88" s="4">
        <f>149095/12</f>
        <v>12424.583333333334</v>
      </c>
      <c r="Y88" s="4">
        <f>149095/12</f>
        <v>12424.583333333334</v>
      </c>
      <c r="Z88" s="4">
        <f>153567/12</f>
        <v>12797.25</v>
      </c>
      <c r="AA88" s="4">
        <f>153567/12</f>
        <v>12797.25</v>
      </c>
      <c r="AB88" s="4">
        <f>156800/12</f>
        <v>13066.666666666666</v>
      </c>
      <c r="AC88" s="5" t="s">
        <v>190</v>
      </c>
    </row>
    <row r="89" spans="1:29" ht="15.5" x14ac:dyDescent="0.35">
      <c r="A89" s="2" t="s">
        <v>192</v>
      </c>
      <c r="B89" s="1" t="s">
        <v>193</v>
      </c>
      <c r="C89" s="4">
        <f>131400/12</f>
        <v>10950</v>
      </c>
      <c r="D89" s="4">
        <f t="shared" ref="D89:E93" si="0">135342/12</f>
        <v>11278.5</v>
      </c>
      <c r="E89" s="4">
        <f t="shared" si="0"/>
        <v>11278.5</v>
      </c>
      <c r="F89" s="4">
        <f t="shared" ref="F89:G93" si="1">139402/12</f>
        <v>11616.833333333334</v>
      </c>
      <c r="G89" s="4">
        <f t="shared" si="1"/>
        <v>11616.833333333334</v>
      </c>
      <c r="H89" s="4">
        <f t="shared" ref="H89:I93" si="2">143584/12</f>
        <v>11965.333333333334</v>
      </c>
      <c r="I89" s="4">
        <f t="shared" si="2"/>
        <v>11965.333333333334</v>
      </c>
      <c r="J89" s="4">
        <f t="shared" ref="J89:L93" si="3">147892/12</f>
        <v>12324.333333333334</v>
      </c>
      <c r="K89" s="4">
        <f t="shared" si="3"/>
        <v>12324.333333333334</v>
      </c>
      <c r="L89" s="4">
        <f t="shared" si="3"/>
        <v>12324.333333333334</v>
      </c>
      <c r="M89" s="4">
        <f t="shared" ref="M89:N93" si="4">160965/12</f>
        <v>13413.75</v>
      </c>
      <c r="N89" s="4">
        <f t="shared" si="4"/>
        <v>13413.75</v>
      </c>
      <c r="O89" s="4">
        <f t="shared" ref="O89:Q93" si="5">165794/12</f>
        <v>13816.166666666666</v>
      </c>
      <c r="P89" s="4">
        <f t="shared" si="5"/>
        <v>13816.166666666666</v>
      </c>
      <c r="Q89" s="4">
        <f t="shared" si="5"/>
        <v>13816.166666666666</v>
      </c>
      <c r="R89" s="4">
        <f t="shared" ref="R89:S93" si="6">170768/12</f>
        <v>14230.666666666666</v>
      </c>
      <c r="S89" s="4">
        <f t="shared" si="6"/>
        <v>14230.666666666666</v>
      </c>
      <c r="T89" s="4">
        <f t="shared" ref="T89:V93" si="7">175891/12</f>
        <v>14657.583333333334</v>
      </c>
      <c r="U89" s="4">
        <f t="shared" si="7"/>
        <v>14657.583333333334</v>
      </c>
      <c r="V89" s="4">
        <f t="shared" si="7"/>
        <v>14657.583333333334</v>
      </c>
      <c r="W89" s="4">
        <f t="shared" ref="W89:Y93" si="8">181168/12</f>
        <v>15097.333333333334</v>
      </c>
      <c r="X89" s="4">
        <f t="shared" si="8"/>
        <v>15097.333333333334</v>
      </c>
      <c r="Y89" s="4">
        <f t="shared" si="8"/>
        <v>15097.333333333334</v>
      </c>
      <c r="Z89" s="4">
        <f t="shared" ref="Z89:AA93" si="9">186603/12</f>
        <v>15550.25</v>
      </c>
      <c r="AA89" s="4">
        <f t="shared" si="9"/>
        <v>15550.25</v>
      </c>
      <c r="AB89" s="4">
        <f>190530/12</f>
        <v>15877.5</v>
      </c>
      <c r="AC89" s="5" t="s">
        <v>192</v>
      </c>
    </row>
    <row r="90" spans="1:29" ht="15.5" x14ac:dyDescent="0.35">
      <c r="A90" s="2" t="s">
        <v>194</v>
      </c>
      <c r="B90" s="1" t="s">
        <v>195</v>
      </c>
      <c r="C90" s="4">
        <f>131400/12</f>
        <v>10950</v>
      </c>
      <c r="D90" s="4">
        <f t="shared" si="0"/>
        <v>11278.5</v>
      </c>
      <c r="E90" s="4">
        <f t="shared" si="0"/>
        <v>11278.5</v>
      </c>
      <c r="F90" s="4">
        <f t="shared" si="1"/>
        <v>11616.833333333334</v>
      </c>
      <c r="G90" s="4">
        <f t="shared" si="1"/>
        <v>11616.833333333334</v>
      </c>
      <c r="H90" s="4">
        <f t="shared" si="2"/>
        <v>11965.333333333334</v>
      </c>
      <c r="I90" s="4">
        <f t="shared" si="2"/>
        <v>11965.333333333334</v>
      </c>
      <c r="J90" s="4">
        <f t="shared" si="3"/>
        <v>12324.333333333334</v>
      </c>
      <c r="K90" s="4">
        <f t="shared" si="3"/>
        <v>12324.333333333334</v>
      </c>
      <c r="L90" s="4">
        <f t="shared" si="3"/>
        <v>12324.333333333334</v>
      </c>
      <c r="M90" s="4">
        <f t="shared" si="4"/>
        <v>13413.75</v>
      </c>
      <c r="N90" s="4">
        <f t="shared" si="4"/>
        <v>13413.75</v>
      </c>
      <c r="O90" s="4">
        <f t="shared" si="5"/>
        <v>13816.166666666666</v>
      </c>
      <c r="P90" s="4">
        <f t="shared" si="5"/>
        <v>13816.166666666666</v>
      </c>
      <c r="Q90" s="4">
        <f t="shared" si="5"/>
        <v>13816.166666666666</v>
      </c>
      <c r="R90" s="4">
        <f t="shared" si="6"/>
        <v>14230.666666666666</v>
      </c>
      <c r="S90" s="4">
        <f t="shared" si="6"/>
        <v>14230.666666666666</v>
      </c>
      <c r="T90" s="4">
        <f t="shared" si="7"/>
        <v>14657.583333333334</v>
      </c>
      <c r="U90" s="4">
        <f t="shared" si="7"/>
        <v>14657.583333333334</v>
      </c>
      <c r="V90" s="4">
        <f t="shared" si="7"/>
        <v>14657.583333333334</v>
      </c>
      <c r="W90" s="4">
        <f t="shared" si="8"/>
        <v>15097.333333333334</v>
      </c>
      <c r="X90" s="4">
        <f t="shared" si="8"/>
        <v>15097.333333333334</v>
      </c>
      <c r="Y90" s="4">
        <f t="shared" si="8"/>
        <v>15097.333333333334</v>
      </c>
      <c r="Z90" s="4">
        <f t="shared" si="9"/>
        <v>15550.25</v>
      </c>
      <c r="AA90" s="4">
        <f t="shared" si="9"/>
        <v>15550.25</v>
      </c>
      <c r="AB90" s="4">
        <f>190530/12</f>
        <v>15877.5</v>
      </c>
      <c r="AC90" s="5" t="s">
        <v>194</v>
      </c>
    </row>
    <row r="91" spans="1:29" ht="15.5" x14ac:dyDescent="0.35">
      <c r="A91" s="2" t="s">
        <v>196</v>
      </c>
      <c r="B91" s="1" t="s">
        <v>197</v>
      </c>
      <c r="C91" s="4">
        <f>131400/12</f>
        <v>10950</v>
      </c>
      <c r="D91" s="4">
        <f t="shared" si="0"/>
        <v>11278.5</v>
      </c>
      <c r="E91" s="4">
        <f t="shared" si="0"/>
        <v>11278.5</v>
      </c>
      <c r="F91" s="4">
        <f t="shared" si="1"/>
        <v>11616.833333333334</v>
      </c>
      <c r="G91" s="4">
        <f t="shared" si="1"/>
        <v>11616.833333333334</v>
      </c>
      <c r="H91" s="4">
        <f t="shared" si="2"/>
        <v>11965.333333333334</v>
      </c>
      <c r="I91" s="4">
        <f t="shared" si="2"/>
        <v>11965.333333333334</v>
      </c>
      <c r="J91" s="4">
        <f t="shared" si="3"/>
        <v>12324.333333333334</v>
      </c>
      <c r="K91" s="4">
        <f t="shared" si="3"/>
        <v>12324.333333333334</v>
      </c>
      <c r="L91" s="4">
        <f t="shared" si="3"/>
        <v>12324.333333333334</v>
      </c>
      <c r="M91" s="4">
        <f t="shared" si="4"/>
        <v>13413.75</v>
      </c>
      <c r="N91" s="4">
        <f t="shared" si="4"/>
        <v>13413.75</v>
      </c>
      <c r="O91" s="4">
        <f t="shared" si="5"/>
        <v>13816.166666666666</v>
      </c>
      <c r="P91" s="4">
        <f t="shared" si="5"/>
        <v>13816.166666666666</v>
      </c>
      <c r="Q91" s="4">
        <f t="shared" si="5"/>
        <v>13816.166666666666</v>
      </c>
      <c r="R91" s="4">
        <f t="shared" si="6"/>
        <v>14230.666666666666</v>
      </c>
      <c r="S91" s="4">
        <f t="shared" si="6"/>
        <v>14230.666666666666</v>
      </c>
      <c r="T91" s="4">
        <f t="shared" si="7"/>
        <v>14657.583333333334</v>
      </c>
      <c r="U91" s="4">
        <f t="shared" si="7"/>
        <v>14657.583333333334</v>
      </c>
      <c r="V91" s="4">
        <f t="shared" si="7"/>
        <v>14657.583333333334</v>
      </c>
      <c r="W91" s="4">
        <f t="shared" si="8"/>
        <v>15097.333333333334</v>
      </c>
      <c r="X91" s="4">
        <f t="shared" si="8"/>
        <v>15097.333333333334</v>
      </c>
      <c r="Y91" s="4">
        <f t="shared" si="8"/>
        <v>15097.333333333334</v>
      </c>
      <c r="Z91" s="4">
        <f t="shared" si="9"/>
        <v>15550.25</v>
      </c>
      <c r="AA91" s="4">
        <f t="shared" si="9"/>
        <v>15550.25</v>
      </c>
      <c r="AB91" s="4">
        <f>190530/12</f>
        <v>15877.5</v>
      </c>
      <c r="AC91" s="5" t="s">
        <v>196</v>
      </c>
    </row>
    <row r="92" spans="1:29" ht="15.5" x14ac:dyDescent="0.35">
      <c r="A92" s="2" t="s">
        <v>198</v>
      </c>
      <c r="B92" s="1" t="s">
        <v>199</v>
      </c>
      <c r="C92" s="4">
        <f>131400/12</f>
        <v>10950</v>
      </c>
      <c r="D92" s="4">
        <f t="shared" si="0"/>
        <v>11278.5</v>
      </c>
      <c r="E92" s="4">
        <f t="shared" si="0"/>
        <v>11278.5</v>
      </c>
      <c r="F92" s="4">
        <f t="shared" si="1"/>
        <v>11616.833333333334</v>
      </c>
      <c r="G92" s="4">
        <f t="shared" si="1"/>
        <v>11616.833333333334</v>
      </c>
      <c r="H92" s="4">
        <f t="shared" si="2"/>
        <v>11965.333333333334</v>
      </c>
      <c r="I92" s="4">
        <f t="shared" si="2"/>
        <v>11965.333333333334</v>
      </c>
      <c r="J92" s="4">
        <f t="shared" si="3"/>
        <v>12324.333333333334</v>
      </c>
      <c r="K92" s="4">
        <f t="shared" si="3"/>
        <v>12324.333333333334</v>
      </c>
      <c r="L92" s="4">
        <f t="shared" si="3"/>
        <v>12324.333333333334</v>
      </c>
      <c r="M92" s="4">
        <f t="shared" si="4"/>
        <v>13413.75</v>
      </c>
      <c r="N92" s="4">
        <f t="shared" si="4"/>
        <v>13413.75</v>
      </c>
      <c r="O92" s="4">
        <f t="shared" si="5"/>
        <v>13816.166666666666</v>
      </c>
      <c r="P92" s="4">
        <f t="shared" si="5"/>
        <v>13816.166666666666</v>
      </c>
      <c r="Q92" s="4">
        <f t="shared" si="5"/>
        <v>13816.166666666666</v>
      </c>
      <c r="R92" s="4">
        <f t="shared" si="6"/>
        <v>14230.666666666666</v>
      </c>
      <c r="S92" s="4">
        <f t="shared" si="6"/>
        <v>14230.666666666666</v>
      </c>
      <c r="T92" s="4">
        <f t="shared" si="7"/>
        <v>14657.583333333334</v>
      </c>
      <c r="U92" s="4">
        <f t="shared" si="7"/>
        <v>14657.583333333334</v>
      </c>
      <c r="V92" s="4">
        <f t="shared" si="7"/>
        <v>14657.583333333334</v>
      </c>
      <c r="W92" s="4">
        <f t="shared" si="8"/>
        <v>15097.333333333334</v>
      </c>
      <c r="X92" s="4">
        <f t="shared" si="8"/>
        <v>15097.333333333334</v>
      </c>
      <c r="Y92" s="4">
        <f t="shared" si="8"/>
        <v>15097.333333333334</v>
      </c>
      <c r="Z92" s="4">
        <f t="shared" si="9"/>
        <v>15550.25</v>
      </c>
      <c r="AA92" s="4">
        <f t="shared" si="9"/>
        <v>15550.25</v>
      </c>
      <c r="AB92" s="4">
        <f>190530/12</f>
        <v>15877.5</v>
      </c>
      <c r="AC92" s="5" t="s">
        <v>198</v>
      </c>
    </row>
    <row r="93" spans="1:29" ht="15.5" x14ac:dyDescent="0.35">
      <c r="A93" s="2" t="s">
        <v>200</v>
      </c>
      <c r="B93" s="1" t="s">
        <v>201</v>
      </c>
      <c r="C93" s="4">
        <f>131400/12</f>
        <v>10950</v>
      </c>
      <c r="D93" s="4">
        <f t="shared" si="0"/>
        <v>11278.5</v>
      </c>
      <c r="E93" s="4">
        <f t="shared" si="0"/>
        <v>11278.5</v>
      </c>
      <c r="F93" s="4">
        <f t="shared" si="1"/>
        <v>11616.833333333334</v>
      </c>
      <c r="G93" s="4">
        <f t="shared" si="1"/>
        <v>11616.833333333334</v>
      </c>
      <c r="H93" s="4">
        <f t="shared" si="2"/>
        <v>11965.333333333334</v>
      </c>
      <c r="I93" s="4">
        <f t="shared" si="2"/>
        <v>11965.333333333334</v>
      </c>
      <c r="J93" s="4">
        <f t="shared" si="3"/>
        <v>12324.333333333334</v>
      </c>
      <c r="K93" s="4">
        <f t="shared" si="3"/>
        <v>12324.333333333334</v>
      </c>
      <c r="L93" s="4">
        <f t="shared" si="3"/>
        <v>12324.333333333334</v>
      </c>
      <c r="M93" s="4">
        <f t="shared" si="4"/>
        <v>13413.75</v>
      </c>
      <c r="N93" s="4">
        <f t="shared" si="4"/>
        <v>13413.75</v>
      </c>
      <c r="O93" s="4">
        <f t="shared" si="5"/>
        <v>13816.166666666666</v>
      </c>
      <c r="P93" s="4">
        <f t="shared" si="5"/>
        <v>13816.166666666666</v>
      </c>
      <c r="Q93" s="4">
        <f t="shared" si="5"/>
        <v>13816.166666666666</v>
      </c>
      <c r="R93" s="4">
        <f t="shared" si="6"/>
        <v>14230.666666666666</v>
      </c>
      <c r="S93" s="4">
        <f t="shared" si="6"/>
        <v>14230.666666666666</v>
      </c>
      <c r="T93" s="4">
        <f t="shared" si="7"/>
        <v>14657.583333333334</v>
      </c>
      <c r="U93" s="4">
        <f t="shared" si="7"/>
        <v>14657.583333333334</v>
      </c>
      <c r="V93" s="4">
        <f t="shared" si="7"/>
        <v>14657.583333333334</v>
      </c>
      <c r="W93" s="4">
        <f t="shared" si="8"/>
        <v>15097.333333333334</v>
      </c>
      <c r="X93" s="4">
        <f t="shared" si="8"/>
        <v>15097.333333333334</v>
      </c>
      <c r="Y93" s="4">
        <f t="shared" si="8"/>
        <v>15097.333333333334</v>
      </c>
      <c r="Z93" s="4">
        <f t="shared" si="9"/>
        <v>15550.25</v>
      </c>
      <c r="AA93" s="4">
        <f t="shared" si="9"/>
        <v>15550.25</v>
      </c>
      <c r="AB93" s="4">
        <f>190530/12</f>
        <v>15877.5</v>
      </c>
      <c r="AC93" s="5" t="s">
        <v>200</v>
      </c>
    </row>
    <row r="94" spans="1:29" ht="15.5" x14ac:dyDescent="0.35">
      <c r="A94" s="2" t="s">
        <v>202</v>
      </c>
      <c r="B94" s="1" t="s">
        <v>203</v>
      </c>
      <c r="C94" s="4">
        <f>82812/12</f>
        <v>6901</v>
      </c>
      <c r="D94" s="4">
        <f>85296/12</f>
        <v>7108</v>
      </c>
      <c r="E94" s="4">
        <f>85296/12</f>
        <v>7108</v>
      </c>
      <c r="F94" s="4">
        <f>87855/12</f>
        <v>7321.25</v>
      </c>
      <c r="G94" s="4">
        <f>87855/12</f>
        <v>7321.25</v>
      </c>
      <c r="H94" s="4">
        <f>90491/12</f>
        <v>7540.916666666667</v>
      </c>
      <c r="I94" s="4">
        <f>90491/12</f>
        <v>7540.916666666667</v>
      </c>
      <c r="J94" s="4">
        <f>93206/12</f>
        <v>7767.166666666667</v>
      </c>
      <c r="K94" s="4">
        <f>93206/12</f>
        <v>7767.166666666667</v>
      </c>
      <c r="L94" s="4">
        <f>93206/12</f>
        <v>7767.166666666667</v>
      </c>
      <c r="M94" s="4">
        <f>101445/12</f>
        <v>8453.75</v>
      </c>
      <c r="N94" s="4">
        <f>101445/12</f>
        <v>8453.75</v>
      </c>
      <c r="O94" s="4">
        <f>104488/12</f>
        <v>8707.3333333333339</v>
      </c>
      <c r="P94" s="4">
        <f>104488/12</f>
        <v>8707.3333333333339</v>
      </c>
      <c r="Q94" s="4">
        <f>104488/12</f>
        <v>8707.3333333333339</v>
      </c>
      <c r="R94" s="4">
        <f>107623/12</f>
        <v>8968.5833333333339</v>
      </c>
      <c r="S94" s="4">
        <f>107623/12</f>
        <v>8968.5833333333339</v>
      </c>
      <c r="T94" s="4">
        <f>110851/12</f>
        <v>9237.5833333333339</v>
      </c>
      <c r="U94" s="4">
        <f>110851/12</f>
        <v>9237.5833333333339</v>
      </c>
      <c r="V94" s="4">
        <f>110851/12</f>
        <v>9237.5833333333339</v>
      </c>
      <c r="W94" s="4">
        <f>114177/12</f>
        <v>9514.75</v>
      </c>
      <c r="X94" s="4">
        <f>114177/12</f>
        <v>9514.75</v>
      </c>
      <c r="Y94" s="4">
        <f>114177/12</f>
        <v>9514.75</v>
      </c>
      <c r="Z94" s="4">
        <f>117602/12</f>
        <v>9800.1666666666661</v>
      </c>
      <c r="AA94" s="4">
        <f>117602/12</f>
        <v>9800.1666666666661</v>
      </c>
      <c r="AB94" s="4">
        <f>120077/12</f>
        <v>10006.416666666666</v>
      </c>
      <c r="AC94" s="5" t="s">
        <v>202</v>
      </c>
    </row>
    <row r="95" spans="1:29" ht="15.5" x14ac:dyDescent="0.35">
      <c r="A95" s="2" t="s">
        <v>204</v>
      </c>
      <c r="B95" s="1" t="s">
        <v>205</v>
      </c>
      <c r="C95" s="4">
        <f>88609/12</f>
        <v>7384.083333333333</v>
      </c>
      <c r="D95" s="4">
        <f>91267/12</f>
        <v>7605.583333333333</v>
      </c>
      <c r="E95" s="4">
        <f>91267/12</f>
        <v>7605.583333333333</v>
      </c>
      <c r="F95" s="4">
        <f>94005/12</f>
        <v>7833.75</v>
      </c>
      <c r="G95" s="4">
        <f>94005/12</f>
        <v>7833.75</v>
      </c>
      <c r="H95" s="4">
        <f>96825/12</f>
        <v>8068.75</v>
      </c>
      <c r="I95" s="4">
        <f>96825/12</f>
        <v>8068.75</v>
      </c>
      <c r="J95" s="4">
        <f>99730/12</f>
        <v>8310.8333333333339</v>
      </c>
      <c r="K95" s="4">
        <f>99730/12</f>
        <v>8310.8333333333339</v>
      </c>
      <c r="L95" s="4">
        <f>99730/12</f>
        <v>8310.8333333333339</v>
      </c>
      <c r="M95" s="4">
        <f>108546/12</f>
        <v>9045.5</v>
      </c>
      <c r="N95" s="4">
        <f>108546/12</f>
        <v>9045.5</v>
      </c>
      <c r="O95" s="4">
        <f>111802/12</f>
        <v>9316.8333333333339</v>
      </c>
      <c r="P95" s="4">
        <f>111802/12</f>
        <v>9316.8333333333339</v>
      </c>
      <c r="Q95" s="4">
        <f>111802/12</f>
        <v>9316.8333333333339</v>
      </c>
      <c r="R95" s="4">
        <f>115156/12</f>
        <v>9596.3333333333339</v>
      </c>
      <c r="S95" s="4">
        <f>115156/12</f>
        <v>9596.3333333333339</v>
      </c>
      <c r="T95" s="4">
        <f>118611/12</f>
        <v>9884.25</v>
      </c>
      <c r="U95" s="4">
        <f>118611/12</f>
        <v>9884.25</v>
      </c>
      <c r="V95" s="4">
        <f>118611/12</f>
        <v>9884.25</v>
      </c>
      <c r="W95" s="4">
        <f>122169/12</f>
        <v>10180.75</v>
      </c>
      <c r="X95" s="4">
        <f>122169/12</f>
        <v>10180.75</v>
      </c>
      <c r="Y95" s="4">
        <f>122169/12</f>
        <v>10180.75</v>
      </c>
      <c r="Z95" s="4">
        <f>125834/12</f>
        <v>10486.166666666666</v>
      </c>
      <c r="AA95" s="4">
        <f>125834/12</f>
        <v>10486.166666666666</v>
      </c>
      <c r="AB95" s="4">
        <f>128483/12</f>
        <v>10706.916666666666</v>
      </c>
      <c r="AC95" s="5" t="s">
        <v>204</v>
      </c>
    </row>
    <row r="96" spans="1:29" ht="15.5" x14ac:dyDescent="0.35">
      <c r="A96" s="2" t="s">
        <v>206</v>
      </c>
      <c r="B96" s="1" t="s">
        <v>207</v>
      </c>
      <c r="C96" s="4">
        <f>76101/12</f>
        <v>6341.75</v>
      </c>
      <c r="D96" s="4">
        <f>78384/12</f>
        <v>6532</v>
      </c>
      <c r="E96" s="4">
        <f>78384/12</f>
        <v>6532</v>
      </c>
      <c r="F96" s="4">
        <f>80735/12</f>
        <v>6727.916666666667</v>
      </c>
      <c r="G96" s="4">
        <f>80735/12</f>
        <v>6727.916666666667</v>
      </c>
      <c r="H96" s="4">
        <f>83157/12</f>
        <v>6929.75</v>
      </c>
      <c r="I96" s="4">
        <f>83157/12</f>
        <v>6929.75</v>
      </c>
      <c r="J96" s="4">
        <f t="shared" ref="J96:L97" si="10">85652/12</f>
        <v>7137.666666666667</v>
      </c>
      <c r="K96" s="4">
        <f t="shared" si="10"/>
        <v>7137.666666666667</v>
      </c>
      <c r="L96" s="4">
        <f t="shared" si="10"/>
        <v>7137.666666666667</v>
      </c>
      <c r="M96" s="4">
        <f>93223/12</f>
        <v>7768.583333333333</v>
      </c>
      <c r="N96" s="4">
        <f>93223/12</f>
        <v>7768.583333333333</v>
      </c>
      <c r="O96" s="4">
        <f t="shared" ref="O96:Q97" si="11">96020/12</f>
        <v>8001.666666666667</v>
      </c>
      <c r="P96" s="4">
        <f t="shared" si="11"/>
        <v>8001.666666666667</v>
      </c>
      <c r="Q96" s="4">
        <f t="shared" si="11"/>
        <v>8001.666666666667</v>
      </c>
      <c r="R96" s="4">
        <f>98900/12</f>
        <v>8241.6666666666661</v>
      </c>
      <c r="S96" s="4">
        <f>98900/12</f>
        <v>8241.6666666666661</v>
      </c>
      <c r="T96" s="4">
        <f t="shared" ref="T96:V97" si="12">101867/12</f>
        <v>8488.9166666666661</v>
      </c>
      <c r="U96" s="4">
        <f t="shared" si="12"/>
        <v>8488.9166666666661</v>
      </c>
      <c r="V96" s="4">
        <f t="shared" si="12"/>
        <v>8488.9166666666661</v>
      </c>
      <c r="W96" s="4">
        <f t="shared" ref="W96:Y97" si="13">104923/12</f>
        <v>8743.5833333333339</v>
      </c>
      <c r="X96" s="4">
        <f t="shared" si="13"/>
        <v>8743.5833333333339</v>
      </c>
      <c r="Y96" s="4">
        <f t="shared" si="13"/>
        <v>8743.5833333333339</v>
      </c>
      <c r="Z96" s="4">
        <f>108071/12</f>
        <v>9005.9166666666661</v>
      </c>
      <c r="AA96" s="4">
        <f>108071/12</f>
        <v>9005.9166666666661</v>
      </c>
      <c r="AB96" s="4">
        <f>110346/12</f>
        <v>9195.5</v>
      </c>
      <c r="AC96" s="5" t="s">
        <v>206</v>
      </c>
    </row>
    <row r="97" spans="1:29" ht="15.5" x14ac:dyDescent="0.35">
      <c r="A97" s="2" t="s">
        <v>208</v>
      </c>
      <c r="B97" s="1" t="s">
        <v>209</v>
      </c>
      <c r="C97" s="4">
        <f>76101/12</f>
        <v>6341.75</v>
      </c>
      <c r="D97" s="4">
        <f>78384/12</f>
        <v>6532</v>
      </c>
      <c r="E97" s="4">
        <f>78384/12</f>
        <v>6532</v>
      </c>
      <c r="F97" s="4">
        <f>80735/12</f>
        <v>6727.916666666667</v>
      </c>
      <c r="G97" s="4">
        <f>80735/12</f>
        <v>6727.916666666667</v>
      </c>
      <c r="H97" s="4">
        <f>83157/12</f>
        <v>6929.75</v>
      </c>
      <c r="I97" s="4">
        <f>83157/12</f>
        <v>6929.75</v>
      </c>
      <c r="J97" s="4">
        <f t="shared" si="10"/>
        <v>7137.666666666667</v>
      </c>
      <c r="K97" s="4">
        <f t="shared" si="10"/>
        <v>7137.666666666667</v>
      </c>
      <c r="L97" s="4">
        <f t="shared" si="10"/>
        <v>7137.666666666667</v>
      </c>
      <c r="M97" s="4">
        <f>93223/12</f>
        <v>7768.583333333333</v>
      </c>
      <c r="N97" s="4">
        <f>93223/12</f>
        <v>7768.583333333333</v>
      </c>
      <c r="O97" s="4">
        <f t="shared" si="11"/>
        <v>8001.666666666667</v>
      </c>
      <c r="P97" s="4">
        <f t="shared" si="11"/>
        <v>8001.666666666667</v>
      </c>
      <c r="Q97" s="4">
        <f t="shared" si="11"/>
        <v>8001.666666666667</v>
      </c>
      <c r="R97" s="4">
        <f>98900/12</f>
        <v>8241.6666666666661</v>
      </c>
      <c r="S97" s="4">
        <f>98900/12</f>
        <v>8241.6666666666661</v>
      </c>
      <c r="T97" s="4">
        <f t="shared" si="12"/>
        <v>8488.9166666666661</v>
      </c>
      <c r="U97" s="4">
        <f t="shared" si="12"/>
        <v>8488.9166666666661</v>
      </c>
      <c r="V97" s="4">
        <f t="shared" si="12"/>
        <v>8488.9166666666661</v>
      </c>
      <c r="W97" s="4">
        <f t="shared" si="13"/>
        <v>8743.5833333333339</v>
      </c>
      <c r="X97" s="4">
        <f t="shared" si="13"/>
        <v>8743.5833333333339</v>
      </c>
      <c r="Y97" s="4">
        <f t="shared" si="13"/>
        <v>8743.5833333333339</v>
      </c>
      <c r="Z97" s="4">
        <f>108071/12</f>
        <v>9005.9166666666661</v>
      </c>
      <c r="AA97" s="4">
        <f>108071/12</f>
        <v>9005.9166666666661</v>
      </c>
      <c r="AB97" s="4">
        <f>110346/12</f>
        <v>9195.5</v>
      </c>
      <c r="AC97" s="5" t="s">
        <v>208</v>
      </c>
    </row>
    <row r="98" spans="1:29" ht="15.5" x14ac:dyDescent="0.35">
      <c r="A98" s="2" t="s">
        <v>210</v>
      </c>
      <c r="B98" s="1" t="s">
        <v>211</v>
      </c>
      <c r="C98" s="4">
        <f>60536/12</f>
        <v>5044.666666666667</v>
      </c>
      <c r="D98" s="4">
        <f>62352/12</f>
        <v>5196</v>
      </c>
      <c r="E98" s="4">
        <f>62352/12</f>
        <v>5196</v>
      </c>
      <c r="F98" s="4">
        <f>64223/12</f>
        <v>5351.916666666667</v>
      </c>
      <c r="G98" s="4">
        <f>64223/12</f>
        <v>5351.916666666667</v>
      </c>
      <c r="H98" s="4">
        <f>66149/12</f>
        <v>5512.416666666667</v>
      </c>
      <c r="I98" s="4">
        <f>66149/12</f>
        <v>5512.416666666667</v>
      </c>
      <c r="J98" s="4">
        <f>68134/12</f>
        <v>5677.833333333333</v>
      </c>
      <c r="K98" s="4">
        <f>68134/12</f>
        <v>5677.833333333333</v>
      </c>
      <c r="L98" s="4">
        <f>68134/12</f>
        <v>5677.833333333333</v>
      </c>
      <c r="M98" s="4">
        <f>74157/12</f>
        <v>6179.75</v>
      </c>
      <c r="N98" s="4">
        <f>74157/12</f>
        <v>6179.75</v>
      </c>
      <c r="O98" s="4">
        <f>76381/12</f>
        <v>6365.083333333333</v>
      </c>
      <c r="P98" s="4">
        <f>76381/12</f>
        <v>6365.083333333333</v>
      </c>
      <c r="Q98" s="4">
        <f>76381/12</f>
        <v>6365.083333333333</v>
      </c>
      <c r="R98" s="4">
        <f>78673/12</f>
        <v>6556.083333333333</v>
      </c>
      <c r="S98" s="4">
        <f>78673/12</f>
        <v>6556.083333333333</v>
      </c>
      <c r="T98" s="4">
        <f>81033/12</f>
        <v>6752.75</v>
      </c>
      <c r="U98" s="4">
        <f>81033/12</f>
        <v>6752.75</v>
      </c>
      <c r="V98" s="4">
        <f>81033/12</f>
        <v>6752.75</v>
      </c>
      <c r="W98" s="4">
        <f>83464/12</f>
        <v>6955.333333333333</v>
      </c>
      <c r="X98" s="4">
        <f>83464/12</f>
        <v>6955.333333333333</v>
      </c>
      <c r="Y98" s="4">
        <f>83464/12</f>
        <v>6955.333333333333</v>
      </c>
      <c r="Z98" s="4">
        <f>85968/12</f>
        <v>7164</v>
      </c>
      <c r="AA98" s="4">
        <f>85968/12</f>
        <v>7164</v>
      </c>
      <c r="AB98" s="4">
        <f>87777/12</f>
        <v>7314.75</v>
      </c>
      <c r="AC98" s="5" t="s">
        <v>212</v>
      </c>
    </row>
    <row r="99" spans="1:29" ht="15.5" x14ac:dyDescent="0.35">
      <c r="A99" s="2" t="s">
        <v>213</v>
      </c>
      <c r="B99" s="1" t="s">
        <v>214</v>
      </c>
      <c r="C99" s="4">
        <f>82009/12</f>
        <v>6834.083333333333</v>
      </c>
      <c r="D99" s="4">
        <f>84469/12</f>
        <v>7039.083333333333</v>
      </c>
      <c r="E99" s="4">
        <f>84469/12</f>
        <v>7039.083333333333</v>
      </c>
      <c r="F99" s="4">
        <f>87003/12</f>
        <v>7250.25</v>
      </c>
      <c r="G99" s="4">
        <f>87003/12</f>
        <v>7250.25</v>
      </c>
      <c r="H99" s="4">
        <f>89613/12</f>
        <v>7467.75</v>
      </c>
      <c r="I99" s="4">
        <f>89613/12</f>
        <v>7467.75</v>
      </c>
      <c r="J99" s="4">
        <f>92301/12</f>
        <v>7691.75</v>
      </c>
      <c r="K99" s="4">
        <f>92301/12</f>
        <v>7691.75</v>
      </c>
      <c r="L99" s="4">
        <f>92301/12</f>
        <v>7691.75</v>
      </c>
      <c r="M99" s="4">
        <f>100461/12</f>
        <v>8371.75</v>
      </c>
      <c r="N99" s="4">
        <f>100461/12</f>
        <v>8371.75</v>
      </c>
      <c r="O99" s="4">
        <f>103474/12</f>
        <v>8622.8333333333339</v>
      </c>
      <c r="P99" s="4">
        <f>103474/12</f>
        <v>8622.8333333333339</v>
      </c>
      <c r="Q99" s="4">
        <f>103474/12</f>
        <v>8622.8333333333339</v>
      </c>
      <c r="R99" s="4">
        <f>106579/12</f>
        <v>8881.5833333333339</v>
      </c>
      <c r="S99" s="4">
        <f>106579/12</f>
        <v>8881.5833333333339</v>
      </c>
      <c r="T99" s="4">
        <f>109776/12</f>
        <v>9148</v>
      </c>
      <c r="U99" s="4">
        <f>109776/12</f>
        <v>9148</v>
      </c>
      <c r="V99" s="4">
        <f>109776/12</f>
        <v>9148</v>
      </c>
      <c r="W99" s="4">
        <f>113069/12</f>
        <v>9422.4166666666661</v>
      </c>
      <c r="X99" s="4">
        <f>113069/12</f>
        <v>9422.4166666666661</v>
      </c>
      <c r="Y99" s="4">
        <f>113069/12</f>
        <v>9422.4166666666661</v>
      </c>
      <c r="Z99" s="4">
        <f>116461/12</f>
        <v>9705.0833333333339</v>
      </c>
      <c r="AA99" s="4">
        <f>116461/12</f>
        <v>9705.0833333333339</v>
      </c>
      <c r="AB99" s="4">
        <f>118912/12</f>
        <v>9909.3333333333339</v>
      </c>
      <c r="AC99" s="5" t="s">
        <v>215</v>
      </c>
    </row>
    <row r="100" spans="1:29" ht="15.5" x14ac:dyDescent="0.35">
      <c r="A100" s="2" t="s">
        <v>216</v>
      </c>
      <c r="B100" s="1" t="s">
        <v>217</v>
      </c>
      <c r="C100" s="4">
        <f>88473/12</f>
        <v>7372.75</v>
      </c>
      <c r="D100" s="4">
        <f>91127/12</f>
        <v>7593.916666666667</v>
      </c>
      <c r="E100" s="4">
        <f>91127/12</f>
        <v>7593.916666666667</v>
      </c>
      <c r="F100" s="4">
        <f>93861/12</f>
        <v>7821.75</v>
      </c>
      <c r="G100" s="4">
        <f>93861/12</f>
        <v>7821.75</v>
      </c>
      <c r="H100" s="4">
        <f>96677/12</f>
        <v>8056.416666666667</v>
      </c>
      <c r="I100" s="4">
        <f>96677/12</f>
        <v>8056.416666666667</v>
      </c>
      <c r="J100" s="4">
        <f>99577/12</f>
        <v>8298.0833333333339</v>
      </c>
      <c r="K100" s="4">
        <f>99577/12</f>
        <v>8298.0833333333339</v>
      </c>
      <c r="L100" s="4">
        <f>99577/12</f>
        <v>8298.0833333333339</v>
      </c>
      <c r="M100" s="4">
        <f>108379/12</f>
        <v>9031.5833333333339</v>
      </c>
      <c r="N100" s="4">
        <f>108379/12</f>
        <v>9031.5833333333339</v>
      </c>
      <c r="O100" s="4">
        <f>111631/12</f>
        <v>9302.5833333333339</v>
      </c>
      <c r="P100" s="4">
        <f>111631/12</f>
        <v>9302.5833333333339</v>
      </c>
      <c r="Q100" s="4">
        <f>111631/12</f>
        <v>9302.5833333333339</v>
      </c>
      <c r="R100" s="4">
        <f>114980/12</f>
        <v>9581.6666666666661</v>
      </c>
      <c r="S100" s="4">
        <f>114980/12</f>
        <v>9581.6666666666661</v>
      </c>
      <c r="T100" s="4">
        <f>118429/12</f>
        <v>9869.0833333333339</v>
      </c>
      <c r="U100" s="4">
        <f>118429/12</f>
        <v>9869.0833333333339</v>
      </c>
      <c r="V100" s="4">
        <f>118429/12</f>
        <v>9869.0833333333339</v>
      </c>
      <c r="W100" s="4">
        <f>121982/12</f>
        <v>10165.166666666666</v>
      </c>
      <c r="X100" s="4">
        <f>121982/12</f>
        <v>10165.166666666666</v>
      </c>
      <c r="Y100" s="4">
        <f>121982/12</f>
        <v>10165.166666666666</v>
      </c>
      <c r="Z100" s="4">
        <f>125641/12</f>
        <v>10470.083333333334</v>
      </c>
      <c r="AA100" s="4">
        <f>125641/12</f>
        <v>10470.083333333334</v>
      </c>
      <c r="AB100" s="4">
        <f>128286/12</f>
        <v>10690.5</v>
      </c>
      <c r="AC100" s="5" t="s">
        <v>216</v>
      </c>
    </row>
    <row r="101" spans="1:29" ht="15.5" x14ac:dyDescent="0.35">
      <c r="A101" s="2" t="s">
        <v>218</v>
      </c>
      <c r="B101" s="1" t="s">
        <v>219</v>
      </c>
      <c r="C101" s="4">
        <f>69624/12</f>
        <v>5802</v>
      </c>
      <c r="D101" s="4">
        <f>71713/12</f>
        <v>5976.083333333333</v>
      </c>
      <c r="E101" s="4">
        <f>71713/12</f>
        <v>5976.083333333333</v>
      </c>
      <c r="F101" s="4">
        <f>73864/12</f>
        <v>6155.333333333333</v>
      </c>
      <c r="G101" s="4">
        <f>73864/12</f>
        <v>6155.333333333333</v>
      </c>
      <c r="H101" s="4">
        <f>76080/12</f>
        <v>6340</v>
      </c>
      <c r="I101" s="4">
        <f>76080/12</f>
        <v>6340</v>
      </c>
      <c r="J101" s="4">
        <f>78362/12</f>
        <v>6530.166666666667</v>
      </c>
      <c r="K101" s="4">
        <f>78362/12</f>
        <v>6530.166666666667</v>
      </c>
      <c r="L101" s="4">
        <f>78362/12</f>
        <v>6530.166666666667</v>
      </c>
      <c r="M101" s="4">
        <f>85289/12</f>
        <v>7107.416666666667</v>
      </c>
      <c r="N101" s="4">
        <f>85289/12</f>
        <v>7107.416666666667</v>
      </c>
      <c r="O101" s="4">
        <f>87848/12</f>
        <v>7320.666666666667</v>
      </c>
      <c r="P101" s="4">
        <f>87848/12</f>
        <v>7320.666666666667</v>
      </c>
      <c r="Q101" s="4">
        <f>87848/12</f>
        <v>7320.666666666667</v>
      </c>
      <c r="R101" s="4">
        <f>90483/12</f>
        <v>7540.25</v>
      </c>
      <c r="S101" s="4">
        <f>90483/12</f>
        <v>7540.25</v>
      </c>
      <c r="T101" s="4">
        <f>93198/12</f>
        <v>7766.5</v>
      </c>
      <c r="U101" s="4">
        <f>93198/12</f>
        <v>7766.5</v>
      </c>
      <c r="V101" s="4">
        <f>93198/12</f>
        <v>7766.5</v>
      </c>
      <c r="W101" s="4">
        <f>95994/12</f>
        <v>7999.5</v>
      </c>
      <c r="X101" s="4">
        <f>95994/12</f>
        <v>7999.5</v>
      </c>
      <c r="Y101" s="4">
        <f>95994/12</f>
        <v>7999.5</v>
      </c>
      <c r="Z101" s="4">
        <f>98874/12</f>
        <v>8239.5</v>
      </c>
      <c r="AA101" s="4">
        <f>98874/12</f>
        <v>8239.5</v>
      </c>
      <c r="AB101" s="4">
        <f>100955/12</f>
        <v>8412.9166666666661</v>
      </c>
      <c r="AC101" s="5" t="s">
        <v>220</v>
      </c>
    </row>
    <row r="102" spans="1:29" ht="15.5" x14ac:dyDescent="0.35">
      <c r="A102" s="2" t="s">
        <v>221</v>
      </c>
      <c r="B102" s="1" t="s">
        <v>222</v>
      </c>
      <c r="C102" s="4">
        <f>68919/12</f>
        <v>5743.25</v>
      </c>
      <c r="D102" s="4">
        <f>70987/12</f>
        <v>5915.583333333333</v>
      </c>
      <c r="E102" s="4">
        <f>70987/12</f>
        <v>5915.583333333333</v>
      </c>
      <c r="F102" s="4">
        <f>73117/12</f>
        <v>6093.083333333333</v>
      </c>
      <c r="G102" s="4">
        <f>73117/12</f>
        <v>6093.083333333333</v>
      </c>
      <c r="H102" s="4">
        <f>75310/12</f>
        <v>6275.833333333333</v>
      </c>
      <c r="I102" s="4">
        <f>75310/12</f>
        <v>6275.833333333333</v>
      </c>
      <c r="J102" s="4">
        <f>77569/12</f>
        <v>6464.083333333333</v>
      </c>
      <c r="K102" s="4">
        <f>77569/12</f>
        <v>6464.083333333333</v>
      </c>
      <c r="L102" s="4">
        <f>77569/12</f>
        <v>6464.083333333333</v>
      </c>
      <c r="M102" s="4">
        <f>84426/12</f>
        <v>7035.5</v>
      </c>
      <c r="N102" s="4">
        <f>84426/12</f>
        <v>7035.5</v>
      </c>
      <c r="O102" s="4">
        <f>86959/12</f>
        <v>7246.583333333333</v>
      </c>
      <c r="P102" s="4">
        <f>86959/12</f>
        <v>7246.583333333333</v>
      </c>
      <c r="Q102" s="4">
        <f>86959/12</f>
        <v>7246.583333333333</v>
      </c>
      <c r="R102" s="4">
        <f>89568/12</f>
        <v>7464</v>
      </c>
      <c r="S102" s="4">
        <f>89568/12</f>
        <v>7464</v>
      </c>
      <c r="T102" s="4">
        <f>92255/12</f>
        <v>7687.916666666667</v>
      </c>
      <c r="U102" s="4">
        <f>92255/12</f>
        <v>7687.916666666667</v>
      </c>
      <c r="V102" s="4">
        <f>92255/12</f>
        <v>7687.916666666667</v>
      </c>
      <c r="W102" s="4">
        <f>95022/12</f>
        <v>7918.5</v>
      </c>
      <c r="X102" s="4">
        <f>95022/12</f>
        <v>7918.5</v>
      </c>
      <c r="Y102" s="4">
        <f>95022/12</f>
        <v>7918.5</v>
      </c>
      <c r="Z102" s="4">
        <f>97873/12</f>
        <v>8156.083333333333</v>
      </c>
      <c r="AA102" s="4">
        <f>97873/12</f>
        <v>8156.083333333333</v>
      </c>
      <c r="AB102" s="4">
        <f>99933/12</f>
        <v>8327.75</v>
      </c>
      <c r="AC102" s="5" t="s">
        <v>221</v>
      </c>
    </row>
    <row r="103" spans="1:29" ht="15.5" x14ac:dyDescent="0.35">
      <c r="A103" s="2" t="s">
        <v>223</v>
      </c>
      <c r="B103" s="1" t="s">
        <v>224</v>
      </c>
      <c r="C103" s="4">
        <f>82046/12</f>
        <v>6837.166666666667</v>
      </c>
      <c r="D103" s="4">
        <f>84507/12</f>
        <v>7042.25</v>
      </c>
      <c r="E103" s="4">
        <f>84507/12</f>
        <v>7042.25</v>
      </c>
      <c r="F103" s="4">
        <f>87042/12</f>
        <v>7253.5</v>
      </c>
      <c r="G103" s="4">
        <f>87042/12</f>
        <v>7253.5</v>
      </c>
      <c r="H103" s="4">
        <f>89654/12</f>
        <v>7471.166666666667</v>
      </c>
      <c r="I103" s="4">
        <f>89654/12</f>
        <v>7471.166666666667</v>
      </c>
      <c r="J103" s="4">
        <f>92343/12</f>
        <v>7695.25</v>
      </c>
      <c r="K103" s="4">
        <f>92343/12</f>
        <v>7695.25</v>
      </c>
      <c r="L103" s="4">
        <f>92343/12</f>
        <v>7695.25</v>
      </c>
      <c r="M103" s="4">
        <f>100506/12</f>
        <v>8375.5</v>
      </c>
      <c r="N103" s="4">
        <f>100506/12</f>
        <v>8375.5</v>
      </c>
      <c r="O103" s="4">
        <f>103521/12</f>
        <v>8626.75</v>
      </c>
      <c r="P103" s="4">
        <f>103521/12</f>
        <v>8626.75</v>
      </c>
      <c r="Q103" s="4">
        <f>103521/12</f>
        <v>8626.75</v>
      </c>
      <c r="R103" s="4">
        <f>106627/12</f>
        <v>8885.5833333333339</v>
      </c>
      <c r="S103" s="4">
        <f>106627/12</f>
        <v>8885.5833333333339</v>
      </c>
      <c r="T103" s="4">
        <f>109826/12</f>
        <v>9152.1666666666661</v>
      </c>
      <c r="U103" s="4">
        <f>109826/12</f>
        <v>9152.1666666666661</v>
      </c>
      <c r="V103" s="4">
        <f>109826/12</f>
        <v>9152.1666666666661</v>
      </c>
      <c r="W103" s="4">
        <f>113120/12</f>
        <v>9426.6666666666661</v>
      </c>
      <c r="X103" s="4">
        <f>113120/12</f>
        <v>9426.6666666666661</v>
      </c>
      <c r="Y103" s="4">
        <f>113120/12</f>
        <v>9426.6666666666661</v>
      </c>
      <c r="Z103" s="4">
        <f>116514/12</f>
        <v>9709.5</v>
      </c>
      <c r="AA103" s="4">
        <f>116514/12</f>
        <v>9709.5</v>
      </c>
      <c r="AB103" s="4">
        <f>118966/12</f>
        <v>9913.8333333333339</v>
      </c>
      <c r="AC103" s="5" t="s">
        <v>223</v>
      </c>
    </row>
    <row r="104" spans="1:29" ht="15.5" x14ac:dyDescent="0.35">
      <c r="A104" s="2" t="s">
        <v>225</v>
      </c>
      <c r="B104" s="1" t="s">
        <v>226</v>
      </c>
      <c r="C104" s="4">
        <f>97545/12</f>
        <v>8128.75</v>
      </c>
      <c r="D104" s="4">
        <f>100471/12</f>
        <v>8372.5833333333339</v>
      </c>
      <c r="E104" s="4">
        <f>100471/12</f>
        <v>8372.5833333333339</v>
      </c>
      <c r="F104" s="4">
        <f>103486/12</f>
        <v>8623.8333333333339</v>
      </c>
      <c r="G104" s="4">
        <f>103486/12</f>
        <v>8623.8333333333339</v>
      </c>
      <c r="H104" s="4">
        <f>106590/12</f>
        <v>8882.5</v>
      </c>
      <c r="I104" s="4">
        <f>106590/12</f>
        <v>8882.5</v>
      </c>
      <c r="J104" s="4">
        <f>109788/12</f>
        <v>9149</v>
      </c>
      <c r="K104" s="4">
        <f>109788/12</f>
        <v>9149</v>
      </c>
      <c r="L104" s="4">
        <f>109788/12</f>
        <v>9149</v>
      </c>
      <c r="M104" s="4">
        <f>119493/12</f>
        <v>9957.75</v>
      </c>
      <c r="N104" s="4">
        <f>119493/12</f>
        <v>9957.75</v>
      </c>
      <c r="O104" s="4">
        <f>123078/12</f>
        <v>10256.5</v>
      </c>
      <c r="P104" s="4">
        <f>123078/12</f>
        <v>10256.5</v>
      </c>
      <c r="Q104" s="4">
        <f>123078/12</f>
        <v>10256.5</v>
      </c>
      <c r="R104" s="4">
        <f>126770/12</f>
        <v>10564.166666666666</v>
      </c>
      <c r="S104" s="4">
        <f>126770/12</f>
        <v>10564.166666666666</v>
      </c>
      <c r="T104" s="4">
        <f>130573/12</f>
        <v>10881.083333333334</v>
      </c>
      <c r="U104" s="4">
        <f>130573/12</f>
        <v>10881.083333333334</v>
      </c>
      <c r="V104" s="4">
        <f>130573/12</f>
        <v>10881.083333333334</v>
      </c>
      <c r="W104" s="4">
        <f>134490/12</f>
        <v>11207.5</v>
      </c>
      <c r="X104" s="4">
        <f>134490/12</f>
        <v>11207.5</v>
      </c>
      <c r="Y104" s="4">
        <f>134490/12</f>
        <v>11207.5</v>
      </c>
      <c r="Z104" s="4">
        <f>138525/12</f>
        <v>11543.75</v>
      </c>
      <c r="AA104" s="4">
        <f>138525/12</f>
        <v>11543.75</v>
      </c>
      <c r="AB104" s="4">
        <f>141440/12</f>
        <v>11786.666666666666</v>
      </c>
      <c r="AC104" s="5" t="s">
        <v>225</v>
      </c>
    </row>
    <row r="105" spans="1:29" ht="15.5" x14ac:dyDescent="0.35">
      <c r="A105" s="2" t="s">
        <v>227</v>
      </c>
      <c r="B105" s="1" t="s">
        <v>228</v>
      </c>
      <c r="C105" s="4">
        <f>98213/12</f>
        <v>8184.416666666667</v>
      </c>
      <c r="D105" s="4">
        <f>101159/12</f>
        <v>8429.9166666666661</v>
      </c>
      <c r="E105" s="4">
        <f>101159/12</f>
        <v>8429.9166666666661</v>
      </c>
      <c r="F105" s="4">
        <f>104194/12</f>
        <v>8682.8333333333339</v>
      </c>
      <c r="G105" s="4">
        <f>104194/12</f>
        <v>8682.8333333333339</v>
      </c>
      <c r="H105" s="4">
        <f>107320/12</f>
        <v>8943.3333333333339</v>
      </c>
      <c r="I105" s="4">
        <f>107320/12</f>
        <v>8943.3333333333339</v>
      </c>
      <c r="J105" s="4">
        <f>110539/12</f>
        <v>9211.5833333333339</v>
      </c>
      <c r="K105" s="4">
        <f>110539/12</f>
        <v>9211.5833333333339</v>
      </c>
      <c r="L105" s="4">
        <f>110539/12</f>
        <v>9211.5833333333339</v>
      </c>
      <c r="M105" s="4">
        <f>120310/12</f>
        <v>10025.833333333334</v>
      </c>
      <c r="N105" s="4">
        <f>120310/12</f>
        <v>10025.833333333334</v>
      </c>
      <c r="O105" s="4">
        <f>123920/12</f>
        <v>10326.666666666666</v>
      </c>
      <c r="P105" s="4">
        <f>123920/12</f>
        <v>10326.666666666666</v>
      </c>
      <c r="Q105" s="4">
        <f>123920/12</f>
        <v>10326.666666666666</v>
      </c>
      <c r="R105" s="4">
        <f>127637/12</f>
        <v>10636.416666666666</v>
      </c>
      <c r="S105" s="4">
        <f>127637/12</f>
        <v>10636.416666666666</v>
      </c>
      <c r="T105" s="4">
        <f>131466/12</f>
        <v>10955.5</v>
      </c>
      <c r="U105" s="4">
        <f>131466/12</f>
        <v>10955.5</v>
      </c>
      <c r="V105" s="4">
        <f>131466/12</f>
        <v>10955.5</v>
      </c>
      <c r="W105" s="4">
        <f>135410/12</f>
        <v>11284.166666666666</v>
      </c>
      <c r="X105" s="4">
        <f>135410/12</f>
        <v>11284.166666666666</v>
      </c>
      <c r="Y105" s="4">
        <f>135410/12</f>
        <v>11284.166666666666</v>
      </c>
      <c r="Z105" s="4">
        <f>139473/12</f>
        <v>11622.75</v>
      </c>
      <c r="AA105" s="4">
        <f>139473/12</f>
        <v>11622.75</v>
      </c>
      <c r="AB105" s="4">
        <f>142408/12</f>
        <v>11867.333333333334</v>
      </c>
      <c r="AC105" s="5" t="s">
        <v>227</v>
      </c>
    </row>
    <row r="106" spans="1:29" ht="15.5" x14ac:dyDescent="0.35">
      <c r="A106" s="2" t="s">
        <v>229</v>
      </c>
      <c r="B106" s="1" t="s">
        <v>230</v>
      </c>
      <c r="C106" s="4">
        <f>59180/12</f>
        <v>4931.666666666667</v>
      </c>
      <c r="D106" s="4">
        <f>60955/12</f>
        <v>5079.583333333333</v>
      </c>
      <c r="E106" s="4">
        <f>60955/12</f>
        <v>5079.583333333333</v>
      </c>
      <c r="F106" s="4">
        <f>62784/12</f>
        <v>5232</v>
      </c>
      <c r="G106" s="4">
        <f>62784/12</f>
        <v>5232</v>
      </c>
      <c r="H106" s="4">
        <f>64667/12</f>
        <v>5388.916666666667</v>
      </c>
      <c r="I106" s="4">
        <f>64667/12</f>
        <v>5388.916666666667</v>
      </c>
      <c r="J106" s="4">
        <f>66607/12</f>
        <v>5550.583333333333</v>
      </c>
      <c r="K106" s="4">
        <f>66607/12</f>
        <v>5550.583333333333</v>
      </c>
      <c r="L106" s="4">
        <f>66607/12</f>
        <v>5550.583333333333</v>
      </c>
      <c r="M106" s="4">
        <f>72514/12</f>
        <v>6042.833333333333</v>
      </c>
      <c r="N106" s="4">
        <f>72514/12</f>
        <v>6042.833333333333</v>
      </c>
      <c r="O106" s="4">
        <f>74689/12</f>
        <v>6224.083333333333</v>
      </c>
      <c r="P106" s="4">
        <f>74689/12</f>
        <v>6224.083333333333</v>
      </c>
      <c r="Q106" s="4">
        <f>74689/12</f>
        <v>6224.083333333333</v>
      </c>
      <c r="R106" s="4">
        <f>76930/12</f>
        <v>6410.833333333333</v>
      </c>
      <c r="S106" s="4">
        <f>76930/12</f>
        <v>6410.833333333333</v>
      </c>
      <c r="T106" s="4">
        <f>79238/12</f>
        <v>6603.166666666667</v>
      </c>
      <c r="U106" s="4">
        <f>79238/12</f>
        <v>6603.166666666667</v>
      </c>
      <c r="V106" s="4">
        <f>79238/12</f>
        <v>6603.166666666667</v>
      </c>
      <c r="W106" s="4">
        <f>81615/12</f>
        <v>6801.25</v>
      </c>
      <c r="X106" s="4">
        <f>81615/12</f>
        <v>6801.25</v>
      </c>
      <c r="Y106" s="4">
        <f>81615/12</f>
        <v>6801.25</v>
      </c>
      <c r="Z106" s="4">
        <f>84063/12</f>
        <v>7005.25</v>
      </c>
      <c r="AA106" s="4">
        <f>84063/12</f>
        <v>7005.25</v>
      </c>
      <c r="AB106" s="4">
        <f>85848/12</f>
        <v>7154</v>
      </c>
      <c r="AC106" s="5" t="s">
        <v>229</v>
      </c>
    </row>
    <row r="107" spans="1:29" ht="15.5" x14ac:dyDescent="0.35">
      <c r="A107" s="2" t="s">
        <v>231</v>
      </c>
      <c r="B107" s="1" t="s">
        <v>232</v>
      </c>
      <c r="C107" s="4">
        <f>124292/12</f>
        <v>10357.666666666666</v>
      </c>
      <c r="D107" s="4">
        <f>128021/12</f>
        <v>10668.416666666666</v>
      </c>
      <c r="E107" s="4">
        <f>128021/12</f>
        <v>10668.416666666666</v>
      </c>
      <c r="F107" s="4">
        <f>131862/12</f>
        <v>10988.5</v>
      </c>
      <c r="G107" s="4">
        <f>131862/12</f>
        <v>10988.5</v>
      </c>
      <c r="H107" s="4">
        <f>135817/12</f>
        <v>11318.083333333334</v>
      </c>
      <c r="I107" s="4">
        <f>135817/12</f>
        <v>11318.083333333334</v>
      </c>
      <c r="J107" s="4">
        <f>139892/12</f>
        <v>11657.666666666666</v>
      </c>
      <c r="K107" s="4">
        <f>139892/12</f>
        <v>11657.666666666666</v>
      </c>
      <c r="L107" s="4">
        <f>139892/12</f>
        <v>11657.666666666666</v>
      </c>
      <c r="M107" s="4">
        <f>152258/12</f>
        <v>12688.166666666666</v>
      </c>
      <c r="N107" s="4">
        <f>152258/12</f>
        <v>12688.166666666666</v>
      </c>
      <c r="O107" s="4">
        <f>156826/12</f>
        <v>13068.833333333334</v>
      </c>
      <c r="P107" s="4">
        <f>156826/12</f>
        <v>13068.833333333334</v>
      </c>
      <c r="Q107" s="4">
        <f>156826/12</f>
        <v>13068.833333333334</v>
      </c>
      <c r="R107" s="4">
        <f>161530/12</f>
        <v>13460.833333333334</v>
      </c>
      <c r="S107" s="4">
        <f>161530/12</f>
        <v>13460.833333333334</v>
      </c>
      <c r="T107" s="4">
        <f>166376/12</f>
        <v>13864.666666666666</v>
      </c>
      <c r="U107" s="4">
        <f>166376/12</f>
        <v>13864.666666666666</v>
      </c>
      <c r="V107" s="4">
        <f>166376/12</f>
        <v>13864.666666666666</v>
      </c>
      <c r="W107" s="4">
        <f>171368/12</f>
        <v>14280.666666666666</v>
      </c>
      <c r="X107" s="4">
        <f>171368/12</f>
        <v>14280.666666666666</v>
      </c>
      <c r="Y107" s="4">
        <f>171368/12</f>
        <v>14280.666666666666</v>
      </c>
      <c r="Z107" s="4">
        <f>176509/12</f>
        <v>14709.083333333334</v>
      </c>
      <c r="AA107" s="4">
        <f>176509/12</f>
        <v>14709.083333333334</v>
      </c>
      <c r="AB107" s="4">
        <f>180224/12</f>
        <v>15018.666666666666</v>
      </c>
      <c r="AC107" s="5" t="s">
        <v>231</v>
      </c>
    </row>
    <row r="108" spans="1:29" ht="15.5" x14ac:dyDescent="0.35">
      <c r="A108" s="2" t="s">
        <v>233</v>
      </c>
      <c r="B108" s="1" t="s">
        <v>234</v>
      </c>
      <c r="C108" s="4">
        <f>59180/12</f>
        <v>4931.666666666667</v>
      </c>
      <c r="D108" s="4">
        <f>60955/12</f>
        <v>5079.583333333333</v>
      </c>
      <c r="E108" s="4">
        <f>60955/12</f>
        <v>5079.583333333333</v>
      </c>
      <c r="F108" s="4">
        <f>62784/12</f>
        <v>5232</v>
      </c>
      <c r="G108" s="4">
        <f>62784/12</f>
        <v>5232</v>
      </c>
      <c r="H108" s="4">
        <f>64667/12</f>
        <v>5388.916666666667</v>
      </c>
      <c r="I108" s="4">
        <f>64667/12</f>
        <v>5388.916666666667</v>
      </c>
      <c r="J108" s="4">
        <f>66607/12</f>
        <v>5550.583333333333</v>
      </c>
      <c r="K108" s="4">
        <f>66607/12</f>
        <v>5550.583333333333</v>
      </c>
      <c r="L108" s="4">
        <f>66607/12</f>
        <v>5550.583333333333</v>
      </c>
      <c r="M108" s="4">
        <f>72495/12</f>
        <v>6041.25</v>
      </c>
      <c r="N108" s="4">
        <f>72495/12</f>
        <v>6041.25</v>
      </c>
      <c r="O108" s="4">
        <f>74670/12</f>
        <v>6222.5</v>
      </c>
      <c r="P108" s="4">
        <f>74670/12</f>
        <v>6222.5</v>
      </c>
      <c r="Q108" s="4">
        <f>74670/12</f>
        <v>6222.5</v>
      </c>
      <c r="R108" s="4">
        <f>76910/12</f>
        <v>6409.166666666667</v>
      </c>
      <c r="S108" s="4">
        <f>76910/12</f>
        <v>6409.166666666667</v>
      </c>
      <c r="T108" s="4">
        <f>79217/12</f>
        <v>6601.416666666667</v>
      </c>
      <c r="U108" s="4">
        <f>79217/12</f>
        <v>6601.416666666667</v>
      </c>
      <c r="V108" s="4">
        <f>79217/12</f>
        <v>6601.416666666667</v>
      </c>
      <c r="W108" s="4">
        <f>81594/12</f>
        <v>6799.5</v>
      </c>
      <c r="X108" s="4">
        <f>81594/12</f>
        <v>6799.5</v>
      </c>
      <c r="Y108" s="4">
        <f>81594/12</f>
        <v>6799.5</v>
      </c>
      <c r="Z108" s="4">
        <f>84042/12</f>
        <v>7003.5</v>
      </c>
      <c r="AA108" s="4">
        <f>84042/12</f>
        <v>7003.5</v>
      </c>
      <c r="AB108" s="4">
        <f>85811/12</f>
        <v>7150.916666666667</v>
      </c>
      <c r="AC108" s="5" t="s">
        <v>233</v>
      </c>
    </row>
    <row r="109" spans="1:29" ht="15.5" x14ac:dyDescent="0.35">
      <c r="A109" s="2" t="s">
        <v>235</v>
      </c>
      <c r="B109" s="1" t="s">
        <v>236</v>
      </c>
      <c r="C109" s="4">
        <f>76101/12</f>
        <v>6341.75</v>
      </c>
      <c r="D109" s="4">
        <f>78384/12</f>
        <v>6532</v>
      </c>
      <c r="E109" s="4">
        <f>78384/12</f>
        <v>6532</v>
      </c>
      <c r="F109" s="4">
        <f>80735/12</f>
        <v>6727.916666666667</v>
      </c>
      <c r="G109" s="4">
        <f>80735/12</f>
        <v>6727.916666666667</v>
      </c>
      <c r="H109" s="4">
        <f>83157/12</f>
        <v>6929.75</v>
      </c>
      <c r="I109" s="4">
        <f>83157/12</f>
        <v>6929.75</v>
      </c>
      <c r="J109" s="4">
        <f>85652/12</f>
        <v>7137.666666666667</v>
      </c>
      <c r="K109" s="4">
        <f>85652/12</f>
        <v>7137.666666666667</v>
      </c>
      <c r="L109" s="4">
        <f>85652/12</f>
        <v>7137.666666666667</v>
      </c>
      <c r="M109" s="4">
        <f>93223/12</f>
        <v>7768.583333333333</v>
      </c>
      <c r="N109" s="4">
        <f>93223/12</f>
        <v>7768.583333333333</v>
      </c>
      <c r="O109" s="4">
        <f>96020/12</f>
        <v>8001.666666666667</v>
      </c>
      <c r="P109" s="4">
        <f>96020/12</f>
        <v>8001.666666666667</v>
      </c>
      <c r="Q109" s="4">
        <f>96020/12</f>
        <v>8001.666666666667</v>
      </c>
      <c r="R109" s="4">
        <f>98900/12</f>
        <v>8241.6666666666661</v>
      </c>
      <c r="S109" s="4">
        <f>98900/12</f>
        <v>8241.6666666666661</v>
      </c>
      <c r="T109" s="4">
        <f>101867/12</f>
        <v>8488.9166666666661</v>
      </c>
      <c r="U109" s="4">
        <f>101867/12</f>
        <v>8488.9166666666661</v>
      </c>
      <c r="V109" s="4">
        <f>101867/12</f>
        <v>8488.9166666666661</v>
      </c>
      <c r="W109" s="4">
        <f>104923/12</f>
        <v>8743.5833333333339</v>
      </c>
      <c r="X109" s="4">
        <f>104923/12</f>
        <v>8743.5833333333339</v>
      </c>
      <c r="Y109" s="4">
        <f>104923/12</f>
        <v>8743.5833333333339</v>
      </c>
      <c r="Z109" s="4">
        <f>108071/12</f>
        <v>9005.9166666666661</v>
      </c>
      <c r="AA109" s="4">
        <f>108071/12</f>
        <v>9005.9166666666661</v>
      </c>
      <c r="AB109" s="4">
        <f>110346/12</f>
        <v>9195.5</v>
      </c>
      <c r="AC109" s="5" t="s">
        <v>235</v>
      </c>
    </row>
    <row r="110" spans="1:29" ht="15.5" x14ac:dyDescent="0.35">
      <c r="A110" s="2" t="s">
        <v>237</v>
      </c>
      <c r="B110" s="1" t="s">
        <v>238</v>
      </c>
      <c r="C110" s="4">
        <f>68919/12</f>
        <v>5743.25</v>
      </c>
      <c r="D110" s="4">
        <f>70987/12</f>
        <v>5915.583333333333</v>
      </c>
      <c r="E110" s="4">
        <f>70987/12</f>
        <v>5915.583333333333</v>
      </c>
      <c r="F110" s="4">
        <f>73117/12</f>
        <v>6093.083333333333</v>
      </c>
      <c r="G110" s="4">
        <f>73117/12</f>
        <v>6093.083333333333</v>
      </c>
      <c r="H110" s="4">
        <f>75310/12</f>
        <v>6275.833333333333</v>
      </c>
      <c r="I110" s="4">
        <f>75310/12</f>
        <v>6275.833333333333</v>
      </c>
      <c r="J110" s="4">
        <f>77569/12</f>
        <v>6464.083333333333</v>
      </c>
      <c r="K110" s="4">
        <f>77569/12</f>
        <v>6464.083333333333</v>
      </c>
      <c r="L110" s="4">
        <f>77569/12</f>
        <v>6464.083333333333</v>
      </c>
      <c r="M110" s="4">
        <f>84426/12</f>
        <v>7035.5</v>
      </c>
      <c r="N110" s="4">
        <f>84426/12</f>
        <v>7035.5</v>
      </c>
      <c r="O110" s="4">
        <f>86959/12</f>
        <v>7246.583333333333</v>
      </c>
      <c r="P110" s="4">
        <f>86959/12</f>
        <v>7246.583333333333</v>
      </c>
      <c r="Q110" s="4">
        <f>86959/12</f>
        <v>7246.583333333333</v>
      </c>
      <c r="R110" s="4">
        <f>89568/12</f>
        <v>7464</v>
      </c>
      <c r="S110" s="4">
        <f>89568/12</f>
        <v>7464</v>
      </c>
      <c r="T110" s="4">
        <f>92255/12</f>
        <v>7687.916666666667</v>
      </c>
      <c r="U110" s="4">
        <f>92255/12</f>
        <v>7687.916666666667</v>
      </c>
      <c r="V110" s="4">
        <f>92255/12</f>
        <v>7687.916666666667</v>
      </c>
      <c r="W110" s="4">
        <f>95022/12</f>
        <v>7918.5</v>
      </c>
      <c r="X110" s="4">
        <f>95022/12</f>
        <v>7918.5</v>
      </c>
      <c r="Y110" s="4">
        <f>95022/12</f>
        <v>7918.5</v>
      </c>
      <c r="Z110" s="4">
        <f>97873/12</f>
        <v>8156.083333333333</v>
      </c>
      <c r="AA110" s="4">
        <f>97873/12</f>
        <v>8156.083333333333</v>
      </c>
      <c r="AB110" s="4">
        <f>99933/12</f>
        <v>8327.75</v>
      </c>
      <c r="AC110" s="5" t="s">
        <v>237</v>
      </c>
    </row>
    <row r="111" spans="1:29" ht="15.5" x14ac:dyDescent="0.35">
      <c r="A111" s="2" t="s">
        <v>239</v>
      </c>
      <c r="B111" s="1" t="s">
        <v>240</v>
      </c>
      <c r="C111" s="4">
        <f>76101/12</f>
        <v>6341.75</v>
      </c>
      <c r="D111" s="4">
        <f>78384/12</f>
        <v>6532</v>
      </c>
      <c r="E111" s="4">
        <f>78384/12</f>
        <v>6532</v>
      </c>
      <c r="F111" s="4">
        <f>80735/12</f>
        <v>6727.916666666667</v>
      </c>
      <c r="G111" s="4">
        <f>80735/12</f>
        <v>6727.916666666667</v>
      </c>
      <c r="H111" s="4">
        <f>83157/12</f>
        <v>6929.75</v>
      </c>
      <c r="I111" s="4">
        <f>83157/12</f>
        <v>6929.75</v>
      </c>
      <c r="J111" s="4">
        <f>85652/12</f>
        <v>7137.666666666667</v>
      </c>
      <c r="K111" s="4">
        <f>85652/12</f>
        <v>7137.666666666667</v>
      </c>
      <c r="L111" s="4">
        <f>85652/12</f>
        <v>7137.666666666667</v>
      </c>
      <c r="M111" s="4">
        <f>93223/12</f>
        <v>7768.583333333333</v>
      </c>
      <c r="N111" s="4">
        <f>93223/12</f>
        <v>7768.583333333333</v>
      </c>
      <c r="O111" s="4">
        <f>96020/12</f>
        <v>8001.666666666667</v>
      </c>
      <c r="P111" s="4">
        <f>96020/12</f>
        <v>8001.666666666667</v>
      </c>
      <c r="Q111" s="4">
        <f>96020/12</f>
        <v>8001.666666666667</v>
      </c>
      <c r="R111" s="4">
        <f>98900/12</f>
        <v>8241.6666666666661</v>
      </c>
      <c r="S111" s="4">
        <f>98900/12</f>
        <v>8241.6666666666661</v>
      </c>
      <c r="T111" s="4">
        <f>101867/12</f>
        <v>8488.9166666666661</v>
      </c>
      <c r="U111" s="4">
        <f>101867/12</f>
        <v>8488.9166666666661</v>
      </c>
      <c r="V111" s="4">
        <f>101867/12</f>
        <v>8488.9166666666661</v>
      </c>
      <c r="W111" s="4">
        <f>104923/12</f>
        <v>8743.5833333333339</v>
      </c>
      <c r="X111" s="4">
        <f>104923/12</f>
        <v>8743.5833333333339</v>
      </c>
      <c r="Y111" s="4">
        <f>104923/12</f>
        <v>8743.5833333333339</v>
      </c>
      <c r="Z111" s="4">
        <f>108071/12</f>
        <v>9005.9166666666661</v>
      </c>
      <c r="AA111" s="4">
        <f>108071/12</f>
        <v>9005.9166666666661</v>
      </c>
      <c r="AB111" s="4">
        <f>110346/12</f>
        <v>9195.5</v>
      </c>
      <c r="AC111" s="5" t="s">
        <v>239</v>
      </c>
    </row>
    <row r="112" spans="1:29" ht="15.5" x14ac:dyDescent="0.35">
      <c r="A112" s="2" t="s">
        <v>241</v>
      </c>
      <c r="B112" s="1" t="s">
        <v>242</v>
      </c>
      <c r="C112" s="4">
        <f>89536/12</f>
        <v>7461.333333333333</v>
      </c>
      <c r="D112" s="4">
        <f>92222/12</f>
        <v>7685.166666666667</v>
      </c>
      <c r="E112" s="4">
        <f>92222/12</f>
        <v>7685.166666666667</v>
      </c>
      <c r="F112" s="4">
        <f>94989/12</f>
        <v>7915.75</v>
      </c>
      <c r="G112" s="4">
        <f>94989/12</f>
        <v>7915.75</v>
      </c>
      <c r="H112" s="4">
        <f>97838/12</f>
        <v>8153.166666666667</v>
      </c>
      <c r="I112" s="4">
        <f>97838/12</f>
        <v>8153.166666666667</v>
      </c>
      <c r="J112" s="4">
        <f>100773/12</f>
        <v>8397.75</v>
      </c>
      <c r="K112" s="4">
        <f>100773/12</f>
        <v>8397.75</v>
      </c>
      <c r="L112" s="4">
        <f>100773/12</f>
        <v>8397.75</v>
      </c>
      <c r="M112" s="4">
        <f>109681/12</f>
        <v>9140.0833333333339</v>
      </c>
      <c r="N112" s="4">
        <f>109681/12</f>
        <v>9140.0833333333339</v>
      </c>
      <c r="O112" s="4">
        <f>112972/12</f>
        <v>9414.3333333333339</v>
      </c>
      <c r="P112" s="4">
        <f>112972/12</f>
        <v>9414.3333333333339</v>
      </c>
      <c r="Q112" s="4">
        <f>112972/12</f>
        <v>9414.3333333333339</v>
      </c>
      <c r="R112" s="4">
        <f>116361/12</f>
        <v>9696.75</v>
      </c>
      <c r="S112" s="4">
        <f>116361/12</f>
        <v>9696.75</v>
      </c>
      <c r="T112" s="4">
        <f>119852/12</f>
        <v>9987.6666666666661</v>
      </c>
      <c r="U112" s="4">
        <f>119852/12</f>
        <v>9987.6666666666661</v>
      </c>
      <c r="V112" s="4">
        <f>119852/12</f>
        <v>9987.6666666666661</v>
      </c>
      <c r="W112" s="4">
        <f>123447/12</f>
        <v>10287.25</v>
      </c>
      <c r="X112" s="4">
        <f>123447/12</f>
        <v>10287.25</v>
      </c>
      <c r="Y112" s="4">
        <f>123447/12</f>
        <v>10287.25</v>
      </c>
      <c r="Z112" s="4">
        <f>127151/12</f>
        <v>10595.916666666666</v>
      </c>
      <c r="AA112" s="4">
        <f>127151/12</f>
        <v>10595.916666666666</v>
      </c>
      <c r="AB112" s="4">
        <f>129827/12</f>
        <v>10818.916666666666</v>
      </c>
      <c r="AC112" s="5" t="s">
        <v>241</v>
      </c>
    </row>
    <row r="113" spans="1:29" ht="15.5" x14ac:dyDescent="0.35">
      <c r="A113" s="2" t="s">
        <v>243</v>
      </c>
      <c r="B113" s="1" t="s">
        <v>244</v>
      </c>
      <c r="C113" s="4">
        <f>103317/12</f>
        <v>8609.75</v>
      </c>
      <c r="D113" s="4">
        <f>106417/12</f>
        <v>8868.0833333333339</v>
      </c>
      <c r="E113" s="4">
        <f>106417/12</f>
        <v>8868.0833333333339</v>
      </c>
      <c r="F113" s="4">
        <f>109609/12</f>
        <v>9134.0833333333339</v>
      </c>
      <c r="G113" s="4">
        <f>109609/12</f>
        <v>9134.0833333333339</v>
      </c>
      <c r="H113" s="4">
        <f>112898/12</f>
        <v>9408.1666666666661</v>
      </c>
      <c r="I113" s="4">
        <f>112898/12</f>
        <v>9408.1666666666661</v>
      </c>
      <c r="J113" s="4">
        <f>116284/12</f>
        <v>9690.3333333333339</v>
      </c>
      <c r="K113" s="4">
        <f>116284/12</f>
        <v>9690.3333333333339</v>
      </c>
      <c r="L113" s="4">
        <f>116284/12</f>
        <v>9690.3333333333339</v>
      </c>
      <c r="M113" s="4">
        <f>126564/12</f>
        <v>10547</v>
      </c>
      <c r="N113" s="4">
        <f>126564/12</f>
        <v>10547</v>
      </c>
      <c r="O113" s="4">
        <f>130361/12</f>
        <v>10863.416666666666</v>
      </c>
      <c r="P113" s="4">
        <f>130361/12</f>
        <v>10863.416666666666</v>
      </c>
      <c r="Q113" s="4">
        <f>130361/12</f>
        <v>10863.416666666666</v>
      </c>
      <c r="R113" s="4">
        <f>134271/12</f>
        <v>11189.25</v>
      </c>
      <c r="S113" s="4">
        <f>134271/12</f>
        <v>11189.25</v>
      </c>
      <c r="T113" s="4">
        <f>138299/12</f>
        <v>11524.916666666666</v>
      </c>
      <c r="U113" s="4">
        <f>138299/12</f>
        <v>11524.916666666666</v>
      </c>
      <c r="V113" s="4">
        <f>138299/12</f>
        <v>11524.916666666666</v>
      </c>
      <c r="W113" s="4">
        <f>142448/12</f>
        <v>11870.666666666666</v>
      </c>
      <c r="X113" s="4">
        <f>142448/12</f>
        <v>11870.666666666666</v>
      </c>
      <c r="Y113" s="4">
        <f>142448/12</f>
        <v>11870.666666666666</v>
      </c>
      <c r="Z113" s="4">
        <f>146722/12</f>
        <v>12226.833333333334</v>
      </c>
      <c r="AA113" s="4">
        <f>146722/12</f>
        <v>12226.833333333334</v>
      </c>
      <c r="AB113" s="4">
        <f>149810/12</f>
        <v>12484.166666666666</v>
      </c>
      <c r="AC113" s="5" t="s">
        <v>243</v>
      </c>
    </row>
    <row r="114" spans="1:29" ht="15.5" x14ac:dyDescent="0.35">
      <c r="A114" s="2" t="s">
        <v>245</v>
      </c>
      <c r="B114" s="1" t="s">
        <v>246</v>
      </c>
      <c r="C114" s="4">
        <f>44607/12</f>
        <v>3717.25</v>
      </c>
      <c r="D114" s="4">
        <f>45945/12</f>
        <v>3828.75</v>
      </c>
      <c r="E114" s="4">
        <f>45945/12</f>
        <v>3828.75</v>
      </c>
      <c r="F114" s="4">
        <f>47324/12</f>
        <v>3943.6666666666665</v>
      </c>
      <c r="G114" s="4">
        <f>47324/12</f>
        <v>3943.6666666666665</v>
      </c>
      <c r="H114" s="4">
        <f>48744/12</f>
        <v>4062</v>
      </c>
      <c r="I114" s="4">
        <f>48744/12</f>
        <v>4062</v>
      </c>
      <c r="J114" s="4">
        <f>50206/12</f>
        <v>4183.833333333333</v>
      </c>
      <c r="K114" s="4">
        <f>50206/12</f>
        <v>4183.833333333333</v>
      </c>
      <c r="L114" s="4">
        <f>50206/12</f>
        <v>4183.833333333333</v>
      </c>
      <c r="M114" s="4">
        <f>54644/12</f>
        <v>4553.666666666667</v>
      </c>
      <c r="N114" s="4">
        <f>54644/12</f>
        <v>4553.666666666667</v>
      </c>
      <c r="O114" s="4">
        <f>56283/12</f>
        <v>4690.25</v>
      </c>
      <c r="P114" s="4">
        <f>56283/12</f>
        <v>4690.25</v>
      </c>
      <c r="Q114" s="4">
        <f>56283/12</f>
        <v>4690.25</v>
      </c>
      <c r="R114" s="4">
        <f>57972/12</f>
        <v>4831</v>
      </c>
      <c r="S114" s="4">
        <f>57972/12</f>
        <v>4831</v>
      </c>
      <c r="T114" s="4">
        <f>59711/12</f>
        <v>4975.916666666667</v>
      </c>
      <c r="U114" s="4">
        <f>59711/12</f>
        <v>4975.916666666667</v>
      </c>
      <c r="V114" s="4">
        <f>59711/12</f>
        <v>4975.916666666667</v>
      </c>
      <c r="W114" s="4">
        <f>61502/12</f>
        <v>5125.166666666667</v>
      </c>
      <c r="X114" s="4">
        <f>61502/12</f>
        <v>5125.166666666667</v>
      </c>
      <c r="Y114" s="4">
        <f>61502/12</f>
        <v>5125.166666666667</v>
      </c>
      <c r="Z114" s="4">
        <f>63347/12</f>
        <v>5278.916666666667</v>
      </c>
      <c r="AA114" s="4">
        <f>63347/12</f>
        <v>5278.916666666667</v>
      </c>
      <c r="AB114" s="4">
        <f>64680/12</f>
        <v>5390</v>
      </c>
      <c r="AC114" s="5" t="s">
        <v>245</v>
      </c>
    </row>
    <row r="115" spans="1:29" ht="15.5" x14ac:dyDescent="0.35">
      <c r="A115" s="2" t="s">
        <v>247</v>
      </c>
      <c r="B115" s="1" t="s">
        <v>248</v>
      </c>
      <c r="C115" s="4">
        <f>98213/12</f>
        <v>8184.416666666667</v>
      </c>
      <c r="D115" s="4">
        <f>101159/12</f>
        <v>8429.9166666666661</v>
      </c>
      <c r="E115" s="4">
        <f>101159/12</f>
        <v>8429.9166666666661</v>
      </c>
      <c r="F115" s="4">
        <f>104194/12</f>
        <v>8682.8333333333339</v>
      </c>
      <c r="G115" s="4">
        <f>104194/12</f>
        <v>8682.8333333333339</v>
      </c>
      <c r="H115" s="4">
        <f>107320/12</f>
        <v>8943.3333333333339</v>
      </c>
      <c r="I115" s="4">
        <f>107320/12</f>
        <v>8943.3333333333339</v>
      </c>
      <c r="J115" s="4">
        <f>110539/12</f>
        <v>9211.5833333333339</v>
      </c>
      <c r="K115" s="4">
        <f>110539/12</f>
        <v>9211.5833333333339</v>
      </c>
      <c r="L115" s="4">
        <f>110539/12</f>
        <v>9211.5833333333339</v>
      </c>
      <c r="M115" s="4">
        <f>120310/12</f>
        <v>10025.833333333334</v>
      </c>
      <c r="N115" s="4">
        <f>120310/12</f>
        <v>10025.833333333334</v>
      </c>
      <c r="O115" s="4">
        <f>123920/12</f>
        <v>10326.666666666666</v>
      </c>
      <c r="P115" s="4">
        <f>123920/12</f>
        <v>10326.666666666666</v>
      </c>
      <c r="Q115" s="4">
        <f>123920/12</f>
        <v>10326.666666666666</v>
      </c>
      <c r="R115" s="4">
        <f>127637/12</f>
        <v>10636.416666666666</v>
      </c>
      <c r="S115" s="4">
        <f>127637/12</f>
        <v>10636.416666666666</v>
      </c>
      <c r="T115" s="4">
        <f>131466/12</f>
        <v>10955.5</v>
      </c>
      <c r="U115" s="4">
        <f>131466/12</f>
        <v>10955.5</v>
      </c>
      <c r="V115" s="4">
        <f>131466/12</f>
        <v>10955.5</v>
      </c>
      <c r="W115" s="4">
        <f>135410/12</f>
        <v>11284.166666666666</v>
      </c>
      <c r="X115" s="4">
        <f>135410/12</f>
        <v>11284.166666666666</v>
      </c>
      <c r="Y115" s="4">
        <f>135410/12</f>
        <v>11284.166666666666</v>
      </c>
      <c r="Z115" s="4">
        <f>139473/12</f>
        <v>11622.75</v>
      </c>
      <c r="AA115" s="4">
        <f>139473/12</f>
        <v>11622.75</v>
      </c>
      <c r="AB115" s="4">
        <f>142408/12</f>
        <v>11867.333333333334</v>
      </c>
      <c r="AC115" s="5" t="s">
        <v>247</v>
      </c>
    </row>
    <row r="116" spans="1:29" ht="15.5" x14ac:dyDescent="0.35">
      <c r="A116" s="2" t="s">
        <v>249</v>
      </c>
      <c r="B116" s="1" t="s">
        <v>250</v>
      </c>
      <c r="C116" s="4">
        <f>52913/12</f>
        <v>4409.416666666667</v>
      </c>
      <c r="D116" s="4">
        <f>54501/12</f>
        <v>4541.75</v>
      </c>
      <c r="E116" s="4">
        <f>54501/12</f>
        <v>4541.75</v>
      </c>
      <c r="F116" s="4">
        <f>56136/12</f>
        <v>4678</v>
      </c>
      <c r="G116" s="4">
        <f>56136/12</f>
        <v>4678</v>
      </c>
      <c r="H116" s="4">
        <f>57820/12</f>
        <v>4818.333333333333</v>
      </c>
      <c r="I116" s="4">
        <f>57820/12</f>
        <v>4818.333333333333</v>
      </c>
      <c r="J116" s="4">
        <f>59554/12</f>
        <v>4962.833333333333</v>
      </c>
      <c r="K116" s="4">
        <f>59554/12</f>
        <v>4962.833333333333</v>
      </c>
      <c r="L116" s="4">
        <f>59554/12</f>
        <v>4962.833333333333</v>
      </c>
      <c r="M116" s="4">
        <f>64819/12</f>
        <v>5401.583333333333</v>
      </c>
      <c r="N116" s="4">
        <f>64819/12</f>
        <v>5401.583333333333</v>
      </c>
      <c r="O116" s="4">
        <f>66763/12</f>
        <v>5563.583333333333</v>
      </c>
      <c r="P116" s="4">
        <f>66763/12</f>
        <v>5563.583333333333</v>
      </c>
      <c r="Q116" s="4">
        <f>66763/12</f>
        <v>5563.583333333333</v>
      </c>
      <c r="R116" s="4">
        <f>68766/12</f>
        <v>5730.5</v>
      </c>
      <c r="S116" s="4">
        <f>68766/12</f>
        <v>5730.5</v>
      </c>
      <c r="T116" s="4">
        <f>70829/12</f>
        <v>5902.416666666667</v>
      </c>
      <c r="U116" s="4">
        <f>70829/12</f>
        <v>5902.416666666667</v>
      </c>
      <c r="V116" s="4">
        <f>70829/12</f>
        <v>5902.416666666667</v>
      </c>
      <c r="W116" s="4">
        <f>72954/12</f>
        <v>6079.5</v>
      </c>
      <c r="X116" s="4">
        <f>72954/12</f>
        <v>6079.5</v>
      </c>
      <c r="Y116" s="4">
        <f>72954/12</f>
        <v>6079.5</v>
      </c>
      <c r="Z116" s="4">
        <f>75143/12</f>
        <v>6261.916666666667</v>
      </c>
      <c r="AA116" s="4">
        <f>75143/12</f>
        <v>6261.916666666667</v>
      </c>
      <c r="AB116" s="4">
        <f>76724/12</f>
        <v>6393.666666666667</v>
      </c>
      <c r="AC116" s="5" t="s">
        <v>249</v>
      </c>
    </row>
    <row r="117" spans="1:29" ht="15.5" x14ac:dyDescent="0.35">
      <c r="A117" s="2" t="s">
        <v>251</v>
      </c>
      <c r="B117" s="1" t="s">
        <v>252</v>
      </c>
      <c r="C117" s="4">
        <f>59439/12</f>
        <v>4953.25</v>
      </c>
      <c r="D117" s="4">
        <f>61222/12</f>
        <v>5101.833333333333</v>
      </c>
      <c r="E117" s="4">
        <f>61222/12</f>
        <v>5101.833333333333</v>
      </c>
      <c r="F117" s="4">
        <f>63059/12</f>
        <v>5254.916666666667</v>
      </c>
      <c r="G117" s="4">
        <f>63059/12</f>
        <v>5254.916666666667</v>
      </c>
      <c r="H117" s="4">
        <f>64951/12</f>
        <v>5412.583333333333</v>
      </c>
      <c r="I117" s="4">
        <f>64951/12</f>
        <v>5412.583333333333</v>
      </c>
      <c r="J117" s="4">
        <f>66899/12</f>
        <v>5574.916666666667</v>
      </c>
      <c r="K117" s="4">
        <f>66899/12</f>
        <v>5574.916666666667</v>
      </c>
      <c r="L117" s="4">
        <f>66899/12</f>
        <v>5574.916666666667</v>
      </c>
      <c r="M117" s="4">
        <f>72813/12</f>
        <v>6067.75</v>
      </c>
      <c r="N117" s="4">
        <f>72813/12</f>
        <v>6067.75</v>
      </c>
      <c r="O117" s="4">
        <f>74997/12</f>
        <v>6249.75</v>
      </c>
      <c r="P117" s="4">
        <f>74997/12</f>
        <v>6249.75</v>
      </c>
      <c r="Q117" s="4">
        <f>74997/12</f>
        <v>6249.75</v>
      </c>
      <c r="R117" s="4">
        <f>77247/12</f>
        <v>6437.25</v>
      </c>
      <c r="S117" s="4">
        <f>77247/12</f>
        <v>6437.25</v>
      </c>
      <c r="T117" s="4">
        <f>79565/12</f>
        <v>6630.416666666667</v>
      </c>
      <c r="U117" s="4">
        <f>79565/12</f>
        <v>6630.416666666667</v>
      </c>
      <c r="V117" s="4">
        <f>79565/12</f>
        <v>6630.416666666667</v>
      </c>
      <c r="W117" s="4">
        <f>81952/12</f>
        <v>6829.333333333333</v>
      </c>
      <c r="X117" s="4">
        <f>81952/12</f>
        <v>6829.333333333333</v>
      </c>
      <c r="Y117" s="4">
        <f>81952/12</f>
        <v>6829.333333333333</v>
      </c>
      <c r="Z117" s="4">
        <f>84410/12</f>
        <v>7034.166666666667</v>
      </c>
      <c r="AA117" s="4">
        <f>84410/12</f>
        <v>7034.166666666667</v>
      </c>
      <c r="AB117" s="4">
        <f>86187/12</f>
        <v>7182.25</v>
      </c>
      <c r="AC117" s="5" t="s">
        <v>251</v>
      </c>
    </row>
    <row r="118" spans="1:29" ht="15.5" x14ac:dyDescent="0.35">
      <c r="A118" s="2" t="s">
        <v>253</v>
      </c>
      <c r="B118" s="1" t="s">
        <v>254</v>
      </c>
      <c r="C118" s="4">
        <f>94752/12</f>
        <v>7896</v>
      </c>
      <c r="D118" s="4">
        <f>97594/12</f>
        <v>8132.833333333333</v>
      </c>
      <c r="E118" s="4">
        <f>97594/12</f>
        <v>8132.833333333333</v>
      </c>
      <c r="F118" s="4">
        <f>100522/12</f>
        <v>8376.8333333333339</v>
      </c>
      <c r="G118" s="4">
        <f>100522/12</f>
        <v>8376.8333333333339</v>
      </c>
      <c r="H118" s="4">
        <f>103538/12</f>
        <v>8628.1666666666661</v>
      </c>
      <c r="I118" s="4">
        <f>103538/12</f>
        <v>8628.1666666666661</v>
      </c>
      <c r="J118" s="4">
        <f>106644/12</f>
        <v>8887</v>
      </c>
      <c r="K118" s="4">
        <f>106644/12</f>
        <v>8887</v>
      </c>
      <c r="L118" s="4">
        <f>106644/12</f>
        <v>8887</v>
      </c>
      <c r="M118" s="4">
        <f>116071/12</f>
        <v>9672.5833333333339</v>
      </c>
      <c r="N118" s="4">
        <f>116071/12</f>
        <v>9672.5833333333339</v>
      </c>
      <c r="O118" s="4">
        <f>119553/12</f>
        <v>9962.75</v>
      </c>
      <c r="P118" s="4">
        <f>119553/12</f>
        <v>9962.75</v>
      </c>
      <c r="Q118" s="4">
        <f>119553/12</f>
        <v>9962.75</v>
      </c>
      <c r="R118" s="4">
        <f>123140/12</f>
        <v>10261.666666666666</v>
      </c>
      <c r="S118" s="4">
        <f>123140/12</f>
        <v>10261.666666666666</v>
      </c>
      <c r="T118" s="4">
        <f>126834/12</f>
        <v>10569.5</v>
      </c>
      <c r="U118" s="4">
        <f>126834/12</f>
        <v>10569.5</v>
      </c>
      <c r="V118" s="4">
        <f>126834/12</f>
        <v>10569.5</v>
      </c>
      <c r="W118" s="4">
        <f>130639/12</f>
        <v>10886.583333333334</v>
      </c>
      <c r="X118" s="4">
        <f>130639/12</f>
        <v>10886.583333333334</v>
      </c>
      <c r="Y118" s="4">
        <f>130639/12</f>
        <v>10886.583333333334</v>
      </c>
      <c r="Z118" s="4">
        <f>134558/12</f>
        <v>11213.166666666666</v>
      </c>
      <c r="AA118" s="4">
        <f>134558/12</f>
        <v>11213.166666666666</v>
      </c>
      <c r="AB118" s="4">
        <f>137390/12</f>
        <v>11449.166666666666</v>
      </c>
      <c r="AC118" s="5" t="s">
        <v>253</v>
      </c>
    </row>
    <row r="119" spans="1:29" ht="15.5" x14ac:dyDescent="0.35">
      <c r="A119" s="2" t="s">
        <v>255</v>
      </c>
      <c r="B119" s="1" t="s">
        <v>256</v>
      </c>
      <c r="C119" s="4">
        <f>98213/12</f>
        <v>8184.416666666667</v>
      </c>
      <c r="D119" s="4">
        <f>101159/12</f>
        <v>8429.9166666666661</v>
      </c>
      <c r="E119" s="4">
        <f>101159/12</f>
        <v>8429.9166666666661</v>
      </c>
      <c r="F119" s="4">
        <f>104194/12</f>
        <v>8682.8333333333339</v>
      </c>
      <c r="G119" s="4">
        <f>104194/12</f>
        <v>8682.8333333333339</v>
      </c>
      <c r="H119" s="4">
        <f>107320/12</f>
        <v>8943.3333333333339</v>
      </c>
      <c r="I119" s="4">
        <f>107320/12</f>
        <v>8943.3333333333339</v>
      </c>
      <c r="J119" s="4">
        <f>110539/12</f>
        <v>9211.5833333333339</v>
      </c>
      <c r="K119" s="4">
        <f>110539/12</f>
        <v>9211.5833333333339</v>
      </c>
      <c r="L119" s="4">
        <f>110539/12</f>
        <v>9211.5833333333339</v>
      </c>
      <c r="M119" s="4">
        <f>120310/12</f>
        <v>10025.833333333334</v>
      </c>
      <c r="N119" s="4">
        <f>120310/12</f>
        <v>10025.833333333334</v>
      </c>
      <c r="O119" s="4">
        <f>123920/12</f>
        <v>10326.666666666666</v>
      </c>
      <c r="P119" s="4">
        <f>123920/12</f>
        <v>10326.666666666666</v>
      </c>
      <c r="Q119" s="4">
        <f>123920/12</f>
        <v>10326.666666666666</v>
      </c>
      <c r="R119" s="4">
        <f>127637/12</f>
        <v>10636.416666666666</v>
      </c>
      <c r="S119" s="4">
        <f>127637/12</f>
        <v>10636.416666666666</v>
      </c>
      <c r="T119" s="4">
        <f>131466/12</f>
        <v>10955.5</v>
      </c>
      <c r="U119" s="4">
        <f>131466/12</f>
        <v>10955.5</v>
      </c>
      <c r="V119" s="4">
        <f>131466/12</f>
        <v>10955.5</v>
      </c>
      <c r="W119" s="4">
        <f>135410/12</f>
        <v>11284.166666666666</v>
      </c>
      <c r="X119" s="4">
        <f>135410/12</f>
        <v>11284.166666666666</v>
      </c>
      <c r="Y119" s="4">
        <f>135410/12</f>
        <v>11284.166666666666</v>
      </c>
      <c r="Z119" s="4">
        <f>139473/12</f>
        <v>11622.75</v>
      </c>
      <c r="AA119" s="4">
        <f>139473/12</f>
        <v>11622.75</v>
      </c>
      <c r="AB119" s="4">
        <f>142408/12</f>
        <v>11867.333333333334</v>
      </c>
      <c r="AC119" s="5" t="s">
        <v>255</v>
      </c>
    </row>
    <row r="120" spans="1:29" ht="15.5" x14ac:dyDescent="0.35">
      <c r="A120" s="2" t="s">
        <v>568</v>
      </c>
      <c r="B120" s="1" t="s">
        <v>569</v>
      </c>
      <c r="C120" s="4">
        <f>76101/12</f>
        <v>6341.75</v>
      </c>
      <c r="D120" s="4">
        <f>78384.03/12</f>
        <v>6532.0024999999996</v>
      </c>
      <c r="E120" s="4">
        <f>78384.03/12</f>
        <v>6532.0024999999996</v>
      </c>
      <c r="F120" s="4">
        <f>80735.55/12</f>
        <v>6727.9625000000005</v>
      </c>
      <c r="G120" s="4">
        <f>80735.55/12</f>
        <v>6727.9625000000005</v>
      </c>
      <c r="H120" s="4">
        <f>83157.62/12</f>
        <v>6929.8016666666663</v>
      </c>
      <c r="I120" s="4">
        <f>83157.62/12</f>
        <v>6929.8016666666663</v>
      </c>
      <c r="J120" s="4">
        <f>85652.35/12</f>
        <v>7137.6958333333341</v>
      </c>
      <c r="K120" s="4">
        <f>85652.35/12</f>
        <v>7137.6958333333341</v>
      </c>
      <c r="L120" s="4">
        <f>85652.35/12</f>
        <v>7137.6958333333341</v>
      </c>
      <c r="M120" s="4">
        <f>93223.73/12</f>
        <v>7768.644166666666</v>
      </c>
      <c r="N120" s="4">
        <f>93223.73/12</f>
        <v>7768.644166666666</v>
      </c>
      <c r="O120" s="4">
        <f>96020.44/12</f>
        <v>8001.7033333333338</v>
      </c>
      <c r="P120" s="4">
        <f>96020.44/12</f>
        <v>8001.7033333333338</v>
      </c>
      <c r="Q120" s="4">
        <f>96020.44/12</f>
        <v>8001.7033333333338</v>
      </c>
      <c r="R120" s="4">
        <f>98901.05/12</f>
        <v>8241.7541666666675</v>
      </c>
      <c r="S120" s="4">
        <f>98901.05/12</f>
        <v>8241.7541666666675</v>
      </c>
      <c r="T120" s="4">
        <f>101868.08/12</f>
        <v>8489.0066666666662</v>
      </c>
      <c r="U120" s="4">
        <f>101868.08/12</f>
        <v>8489.0066666666662</v>
      </c>
      <c r="V120" s="4">
        <f>101868.08/12</f>
        <v>8489.0066666666662</v>
      </c>
      <c r="W120" s="4">
        <f>104924.12/12</f>
        <v>8743.6766666666663</v>
      </c>
      <c r="X120" s="4">
        <f>104924.12/12</f>
        <v>8743.6766666666663</v>
      </c>
      <c r="Y120" s="4">
        <f>108071.85/12</f>
        <v>9005.9875000000011</v>
      </c>
      <c r="Z120" s="4">
        <f>108071.85/12</f>
        <v>9005.9875000000011</v>
      </c>
      <c r="AA120" s="4">
        <f>108071.85/12</f>
        <v>9005.9875000000011</v>
      </c>
      <c r="AB120" s="4">
        <f>110346.45/12</f>
        <v>9195.5375000000004</v>
      </c>
      <c r="AC120" s="9"/>
    </row>
    <row r="121" spans="1:29" ht="15.5" x14ac:dyDescent="0.35">
      <c r="A121" s="2" t="s">
        <v>257</v>
      </c>
      <c r="B121" s="1" t="s">
        <v>258</v>
      </c>
      <c r="C121" s="4">
        <f>61367/12</f>
        <v>5113.916666666667</v>
      </c>
      <c r="D121" s="4">
        <f>63208/12</f>
        <v>5267.333333333333</v>
      </c>
      <c r="E121" s="4">
        <f>63208/12</f>
        <v>5267.333333333333</v>
      </c>
      <c r="F121" s="4">
        <f>65105/12</f>
        <v>5425.416666666667</v>
      </c>
      <c r="G121" s="4">
        <f>65105/12</f>
        <v>5425.416666666667</v>
      </c>
      <c r="H121" s="4">
        <f>67058/12</f>
        <v>5588.166666666667</v>
      </c>
      <c r="I121" s="4">
        <f>67058/12</f>
        <v>5588.166666666667</v>
      </c>
      <c r="J121" s="4">
        <f>69070/12</f>
        <v>5755.833333333333</v>
      </c>
      <c r="K121" s="4">
        <f>69070/12</f>
        <v>5755.833333333333</v>
      </c>
      <c r="L121" s="4">
        <f>69070/12</f>
        <v>5755.833333333333</v>
      </c>
      <c r="M121" s="4">
        <f>75175/12</f>
        <v>6264.583333333333</v>
      </c>
      <c r="N121" s="4">
        <f>75175/12</f>
        <v>6264.583333333333</v>
      </c>
      <c r="O121" s="4">
        <f>77430/12</f>
        <v>6452.5</v>
      </c>
      <c r="P121" s="4">
        <f>77430/12</f>
        <v>6452.5</v>
      </c>
      <c r="Q121" s="4">
        <f>77430/12</f>
        <v>6452.5</v>
      </c>
      <c r="R121" s="4">
        <f>79753/12</f>
        <v>6646.083333333333</v>
      </c>
      <c r="S121" s="4">
        <f>79753/12</f>
        <v>6646.083333333333</v>
      </c>
      <c r="T121" s="4">
        <f>82146/12</f>
        <v>6845.5</v>
      </c>
      <c r="U121" s="4">
        <f>82146/12</f>
        <v>6845.5</v>
      </c>
      <c r="V121" s="4">
        <f>82146/12</f>
        <v>6845.5</v>
      </c>
      <c r="W121" s="4">
        <f>84610/12</f>
        <v>7050.833333333333</v>
      </c>
      <c r="X121" s="4">
        <f>84610/12</f>
        <v>7050.833333333333</v>
      </c>
      <c r="Y121" s="4">
        <f>84610/12</f>
        <v>7050.833333333333</v>
      </c>
      <c r="Z121" s="4">
        <f>87149/12</f>
        <v>7262.416666666667</v>
      </c>
      <c r="AA121" s="4">
        <f>87149/12</f>
        <v>7262.416666666667</v>
      </c>
      <c r="AB121" s="4">
        <f>88983/12</f>
        <v>7415.25</v>
      </c>
      <c r="AC121" s="5" t="s">
        <v>257</v>
      </c>
    </row>
    <row r="122" spans="1:29" ht="15.5" x14ac:dyDescent="0.35">
      <c r="A122" s="2" t="s">
        <v>259</v>
      </c>
      <c r="B122" s="1" t="s">
        <v>260</v>
      </c>
      <c r="C122" s="4">
        <f>50515/12</f>
        <v>4209.583333333333</v>
      </c>
      <c r="D122" s="4">
        <f>52031/12</f>
        <v>4335.916666666667</v>
      </c>
      <c r="E122" s="4">
        <f>52031/12</f>
        <v>4335.916666666667</v>
      </c>
      <c r="F122" s="4">
        <f>53592/12</f>
        <v>4466</v>
      </c>
      <c r="G122" s="4">
        <f>53592/12</f>
        <v>4466</v>
      </c>
      <c r="H122" s="4">
        <f>55199/12</f>
        <v>4599.916666666667</v>
      </c>
      <c r="I122" s="4">
        <f>55199/12</f>
        <v>4599.916666666667</v>
      </c>
      <c r="J122" s="4">
        <f>56855/12</f>
        <v>4737.916666666667</v>
      </c>
      <c r="K122" s="4">
        <f>56855/12</f>
        <v>4737.916666666667</v>
      </c>
      <c r="L122" s="4">
        <f>56855/12</f>
        <v>4737.916666666667</v>
      </c>
      <c r="M122" s="4">
        <f>61881/12</f>
        <v>5156.75</v>
      </c>
      <c r="N122" s="4">
        <f>61881/12</f>
        <v>5156.75</v>
      </c>
      <c r="O122" s="4">
        <f>63738/12</f>
        <v>5311.5</v>
      </c>
      <c r="P122" s="4">
        <f>63738/12</f>
        <v>5311.5</v>
      </c>
      <c r="Q122" s="4">
        <f>63738/12</f>
        <v>5311.5</v>
      </c>
      <c r="R122" s="4">
        <f>65650/12</f>
        <v>5470.833333333333</v>
      </c>
      <c r="S122" s="4">
        <f>65650/12</f>
        <v>5470.833333333333</v>
      </c>
      <c r="T122" s="4">
        <f>67619/12</f>
        <v>5634.916666666667</v>
      </c>
      <c r="U122" s="4">
        <f>67619/12</f>
        <v>5634.916666666667</v>
      </c>
      <c r="V122" s="4">
        <f>67619/12</f>
        <v>5634.916666666667</v>
      </c>
      <c r="W122" s="4">
        <f>69648/12</f>
        <v>5804</v>
      </c>
      <c r="X122" s="4">
        <f>69648/12</f>
        <v>5804</v>
      </c>
      <c r="Y122" s="4">
        <f>69648/12</f>
        <v>5804</v>
      </c>
      <c r="Z122" s="4">
        <f>71737/12</f>
        <v>5978.083333333333</v>
      </c>
      <c r="AA122" s="4">
        <f>71737/12</f>
        <v>5978.083333333333</v>
      </c>
      <c r="AB122" s="4">
        <f>73247/12</f>
        <v>6103.916666666667</v>
      </c>
      <c r="AC122" s="5" t="s">
        <v>259</v>
      </c>
    </row>
    <row r="123" spans="1:29" ht="15.5" x14ac:dyDescent="0.35">
      <c r="A123" s="23" t="s">
        <v>522</v>
      </c>
      <c r="B123" s="12" t="s">
        <v>524</v>
      </c>
      <c r="C123" s="4">
        <f>93006/12</f>
        <v>7750.5</v>
      </c>
      <c r="D123" s="4">
        <f>95796/12</f>
        <v>7983</v>
      </c>
      <c r="E123" s="4">
        <f>95796/12</f>
        <v>7983</v>
      </c>
      <c r="F123" s="4">
        <f>98670/12</f>
        <v>8222.5</v>
      </c>
      <c r="G123" s="4">
        <f>98670/12</f>
        <v>8222.5</v>
      </c>
      <c r="H123" s="4">
        <f>101630/12</f>
        <v>8469.1666666666661</v>
      </c>
      <c r="I123" s="4">
        <f>101630/12</f>
        <v>8469.1666666666661</v>
      </c>
      <c r="J123" s="4">
        <f>104679/12</f>
        <v>8723.25</v>
      </c>
      <c r="K123" s="4">
        <f>104679/12</f>
        <v>8723.25</v>
      </c>
      <c r="L123" s="4">
        <f>104679/12</f>
        <v>8723.25</v>
      </c>
      <c r="M123" s="4">
        <f>113932/12</f>
        <v>9494.3333333333339</v>
      </c>
      <c r="N123" s="4">
        <f>113932/12</f>
        <v>9494.3333333333339</v>
      </c>
      <c r="O123" s="4">
        <f>117350/12</f>
        <v>9779.1666666666661</v>
      </c>
      <c r="P123" s="4">
        <f>117350/12</f>
        <v>9779.1666666666661</v>
      </c>
      <c r="Q123" s="4">
        <f>117350/12</f>
        <v>9779.1666666666661</v>
      </c>
      <c r="R123" s="4">
        <f>120871/12</f>
        <v>10072.583333333334</v>
      </c>
      <c r="S123" s="4">
        <f>120871/12</f>
        <v>10072.583333333334</v>
      </c>
      <c r="T123" s="4">
        <f>124497/12</f>
        <v>10374.75</v>
      </c>
      <c r="U123" s="4">
        <f>124497/12</f>
        <v>10374.75</v>
      </c>
      <c r="V123" s="4">
        <f>124497/12</f>
        <v>10374.75</v>
      </c>
      <c r="W123" s="4">
        <f>128232/12</f>
        <v>10686</v>
      </c>
      <c r="X123" s="4">
        <f>128232/12</f>
        <v>10686</v>
      </c>
      <c r="Y123" s="4">
        <f>128232/12</f>
        <v>10686</v>
      </c>
      <c r="Z123" s="4">
        <f>132079/12</f>
        <v>11006.583333333334</v>
      </c>
      <c r="AA123" s="4">
        <f>132079/12</f>
        <v>11006.583333333334</v>
      </c>
      <c r="AB123" s="4">
        <f>134859/12</f>
        <v>11238.25</v>
      </c>
      <c r="AC123" s="13" t="s">
        <v>514</v>
      </c>
    </row>
    <row r="124" spans="1:29" ht="15.5" x14ac:dyDescent="0.35">
      <c r="A124" s="2" t="s">
        <v>261</v>
      </c>
      <c r="B124" s="1" t="s">
        <v>262</v>
      </c>
      <c r="C124" s="4">
        <f>98311/12</f>
        <v>8192.5833333333339</v>
      </c>
      <c r="D124" s="4">
        <f>101261/12</f>
        <v>8438.4166666666661</v>
      </c>
      <c r="E124" s="4">
        <f>101261/12</f>
        <v>8438.4166666666661</v>
      </c>
      <c r="F124" s="4">
        <f>104299/12</f>
        <v>8691.5833333333339</v>
      </c>
      <c r="G124" s="4">
        <f>104299/12</f>
        <v>8691.5833333333339</v>
      </c>
      <c r="H124" s="4">
        <f>107428/12</f>
        <v>8952.3333333333339</v>
      </c>
      <c r="I124" s="4">
        <f>107428/12</f>
        <v>8952.3333333333339</v>
      </c>
      <c r="J124" s="4">
        <f>110650/12</f>
        <v>9220.8333333333339</v>
      </c>
      <c r="K124" s="4">
        <f>110650/12</f>
        <v>9220.8333333333339</v>
      </c>
      <c r="L124" s="4">
        <f>110650/12</f>
        <v>9220.8333333333339</v>
      </c>
      <c r="M124" s="4">
        <f>120432/12</f>
        <v>10036</v>
      </c>
      <c r="N124" s="4">
        <f>120432/12</f>
        <v>10036</v>
      </c>
      <c r="O124" s="4">
        <f>124044/12</f>
        <v>10337</v>
      </c>
      <c r="P124" s="4">
        <f>124044/12</f>
        <v>10337</v>
      </c>
      <c r="Q124" s="4">
        <f>124044/12</f>
        <v>10337</v>
      </c>
      <c r="R124" s="4">
        <f>127766/12</f>
        <v>10647.166666666666</v>
      </c>
      <c r="S124" s="4">
        <f>127766/12</f>
        <v>10647.166666666666</v>
      </c>
      <c r="T124" s="4">
        <f>131599/12</f>
        <v>10966.583333333334</v>
      </c>
      <c r="U124" s="4">
        <f>131599/12</f>
        <v>10966.583333333334</v>
      </c>
      <c r="V124" s="4">
        <f>131599/12</f>
        <v>10966.583333333334</v>
      </c>
      <c r="W124" s="4">
        <f>135547/12</f>
        <v>11295.583333333334</v>
      </c>
      <c r="X124" s="4">
        <f>135547/12</f>
        <v>11295.583333333334</v>
      </c>
      <c r="Y124" s="4">
        <f>135547/12</f>
        <v>11295.583333333334</v>
      </c>
      <c r="Z124" s="4">
        <f>139613/12</f>
        <v>11634.416666666666</v>
      </c>
      <c r="AA124" s="4">
        <f>139613/12</f>
        <v>11634.416666666666</v>
      </c>
      <c r="AB124" s="4">
        <f>142552/12</f>
        <v>11879.333333333334</v>
      </c>
      <c r="AC124" s="5" t="s">
        <v>261</v>
      </c>
    </row>
    <row r="125" spans="1:29" ht="15.5" x14ac:dyDescent="0.35">
      <c r="A125" s="2" t="s">
        <v>263</v>
      </c>
      <c r="B125" s="1" t="s">
        <v>264</v>
      </c>
      <c r="C125" s="4">
        <f>56473/12</f>
        <v>4706.083333333333</v>
      </c>
      <c r="D125" s="4">
        <f>58167/12</f>
        <v>4847.25</v>
      </c>
      <c r="E125" s="4">
        <f>58167/12</f>
        <v>4847.25</v>
      </c>
      <c r="F125" s="4">
        <f>59912/12</f>
        <v>4992.666666666667</v>
      </c>
      <c r="G125" s="4">
        <f>59912/12</f>
        <v>4992.666666666667</v>
      </c>
      <c r="H125" s="4">
        <f>61709/12</f>
        <v>5142.416666666667</v>
      </c>
      <c r="I125" s="4">
        <f>61709/12</f>
        <v>5142.416666666667</v>
      </c>
      <c r="J125" s="4">
        <f>63561/12</f>
        <v>5296.75</v>
      </c>
      <c r="K125" s="4">
        <f>63561/12</f>
        <v>5296.75</v>
      </c>
      <c r="L125" s="4">
        <f>63561/12</f>
        <v>5296.75</v>
      </c>
      <c r="M125" s="4">
        <f>69179/12</f>
        <v>5764.916666666667</v>
      </c>
      <c r="N125" s="4">
        <f>69179/12</f>
        <v>5764.916666666667</v>
      </c>
      <c r="O125" s="4">
        <f>71255/12</f>
        <v>5937.916666666667</v>
      </c>
      <c r="P125" s="4">
        <f>71255/12</f>
        <v>5937.916666666667</v>
      </c>
      <c r="Q125" s="4">
        <f>71255/12</f>
        <v>5937.916666666667</v>
      </c>
      <c r="R125" s="4">
        <f>73392/12</f>
        <v>6116</v>
      </c>
      <c r="S125" s="4">
        <f>73392/12</f>
        <v>6116</v>
      </c>
      <c r="T125" s="4">
        <f>75594/12</f>
        <v>6299.5</v>
      </c>
      <c r="U125" s="4">
        <f>75594/12</f>
        <v>6299.5</v>
      </c>
      <c r="V125" s="4">
        <f>75594/12</f>
        <v>6299.5</v>
      </c>
      <c r="W125" s="4">
        <f>77862/12</f>
        <v>6488.5</v>
      </c>
      <c r="X125" s="4">
        <f>77862/12</f>
        <v>6488.5</v>
      </c>
      <c r="Y125" s="4">
        <f>77862/12</f>
        <v>6488.5</v>
      </c>
      <c r="Z125" s="4">
        <f>80198/12</f>
        <v>6683.166666666667</v>
      </c>
      <c r="AA125" s="4">
        <f>80198/12</f>
        <v>6683.166666666667</v>
      </c>
      <c r="AB125" s="4">
        <f>81886/12</f>
        <v>6823.833333333333</v>
      </c>
      <c r="AC125" s="5" t="s">
        <v>263</v>
      </c>
    </row>
    <row r="126" spans="1:29" ht="15.5" x14ac:dyDescent="0.35">
      <c r="A126" s="2" t="s">
        <v>265</v>
      </c>
      <c r="B126" s="1" t="s">
        <v>266</v>
      </c>
      <c r="C126" s="4">
        <f>63852/12</f>
        <v>5321</v>
      </c>
      <c r="D126" s="4">
        <f>65767/12</f>
        <v>5480.583333333333</v>
      </c>
      <c r="E126" s="4">
        <f>65767/12</f>
        <v>5480.583333333333</v>
      </c>
      <c r="F126" s="4">
        <f>67740/12</f>
        <v>5645</v>
      </c>
      <c r="G126" s="4">
        <f>67740/12</f>
        <v>5645</v>
      </c>
      <c r="H126" s="4">
        <f>69773/12</f>
        <v>5814.416666666667</v>
      </c>
      <c r="I126" s="4">
        <f>69773/12</f>
        <v>5814.416666666667</v>
      </c>
      <c r="J126" s="4">
        <f>71866/12</f>
        <v>5988.833333333333</v>
      </c>
      <c r="K126" s="4">
        <f>71866/12</f>
        <v>5988.833333333333</v>
      </c>
      <c r="L126" s="4">
        <f>71866/12</f>
        <v>5988.833333333333</v>
      </c>
      <c r="M126" s="4">
        <f>78218/12</f>
        <v>6518.166666666667</v>
      </c>
      <c r="N126" s="4">
        <f>78218/12</f>
        <v>6518.166666666667</v>
      </c>
      <c r="O126" s="4">
        <f>80565/12</f>
        <v>6713.75</v>
      </c>
      <c r="P126" s="4">
        <f>80565/12</f>
        <v>6713.75</v>
      </c>
      <c r="Q126" s="4">
        <f>80565/12</f>
        <v>6713.75</v>
      </c>
      <c r="R126" s="4">
        <f>82982/12</f>
        <v>6915.166666666667</v>
      </c>
      <c r="S126" s="4">
        <f>82982/12</f>
        <v>6915.166666666667</v>
      </c>
      <c r="T126" s="4">
        <f>85471/12</f>
        <v>7122.583333333333</v>
      </c>
      <c r="U126" s="4">
        <f>85471/12</f>
        <v>7122.583333333333</v>
      </c>
      <c r="V126" s="4">
        <f>85471/12</f>
        <v>7122.583333333333</v>
      </c>
      <c r="W126" s="4">
        <f>88036/12</f>
        <v>7336.333333333333</v>
      </c>
      <c r="X126" s="4">
        <f>88036/12</f>
        <v>7336.333333333333</v>
      </c>
      <c r="Y126" s="4">
        <f>88036/12</f>
        <v>7336.333333333333</v>
      </c>
      <c r="Z126" s="4">
        <f>90677/12</f>
        <v>7556.416666666667</v>
      </c>
      <c r="AA126" s="4">
        <f>90677/12</f>
        <v>7556.416666666667</v>
      </c>
      <c r="AB126" s="4">
        <f>92585/12</f>
        <v>7715.416666666667</v>
      </c>
      <c r="AC126" s="5" t="s">
        <v>265</v>
      </c>
    </row>
    <row r="127" spans="1:29" ht="15.5" x14ac:dyDescent="0.35">
      <c r="A127" s="2" t="s">
        <v>267</v>
      </c>
      <c r="B127" s="1" t="s">
        <v>268</v>
      </c>
      <c r="C127" s="4">
        <f>80639/12</f>
        <v>6719.916666666667</v>
      </c>
      <c r="D127" s="4">
        <f>83058/12</f>
        <v>6921.5</v>
      </c>
      <c r="E127" s="4">
        <f>83058/12</f>
        <v>6921.5</v>
      </c>
      <c r="F127" s="4">
        <f>85550/12</f>
        <v>7129.166666666667</v>
      </c>
      <c r="G127" s="4">
        <f>85550/12</f>
        <v>7129.166666666667</v>
      </c>
      <c r="H127" s="4">
        <f>88116/12</f>
        <v>7343</v>
      </c>
      <c r="I127" s="4">
        <f>88116/12</f>
        <v>7343</v>
      </c>
      <c r="J127" s="4">
        <f>90760/12</f>
        <v>7563.333333333333</v>
      </c>
      <c r="K127" s="4">
        <f>90760/12</f>
        <v>7563.333333333333</v>
      </c>
      <c r="L127" s="4">
        <f>90760/12</f>
        <v>7563.333333333333</v>
      </c>
      <c r="M127" s="4">
        <f>99037/12</f>
        <v>8253.0833333333339</v>
      </c>
      <c r="N127" s="4">
        <f>99037/12</f>
        <v>8253.0833333333339</v>
      </c>
      <c r="O127" s="4">
        <f>102008/12</f>
        <v>8500.6666666666661</v>
      </c>
      <c r="P127" s="4">
        <f>102008/12</f>
        <v>8500.6666666666661</v>
      </c>
      <c r="Q127" s="4">
        <f>102008/12</f>
        <v>8500.6666666666661</v>
      </c>
      <c r="R127" s="4">
        <f>105068/12</f>
        <v>8755.6666666666661</v>
      </c>
      <c r="S127" s="4">
        <f>105068/12</f>
        <v>8755.6666666666661</v>
      </c>
      <c r="T127" s="4">
        <f>108220/12</f>
        <v>9018.3333333333339</v>
      </c>
      <c r="U127" s="4">
        <f>108220/12</f>
        <v>9018.3333333333339</v>
      </c>
      <c r="V127" s="4">
        <f>108220/12</f>
        <v>9018.3333333333339</v>
      </c>
      <c r="W127" s="4">
        <f>111467/12</f>
        <v>9288.9166666666661</v>
      </c>
      <c r="X127" s="4">
        <f>111467/12</f>
        <v>9288.9166666666661</v>
      </c>
      <c r="Y127" s="4">
        <f>111467/12</f>
        <v>9288.9166666666661</v>
      </c>
      <c r="Z127" s="4">
        <f>114811/12</f>
        <v>9567.5833333333339</v>
      </c>
      <c r="AA127" s="4">
        <f>114811/12</f>
        <v>9567.5833333333339</v>
      </c>
      <c r="AB127" s="4">
        <f>117435/12</f>
        <v>9786.25</v>
      </c>
      <c r="AC127" s="5" t="s">
        <v>267</v>
      </c>
    </row>
    <row r="128" spans="1:29" ht="15.5" x14ac:dyDescent="0.35">
      <c r="A128" s="2" t="s">
        <v>269</v>
      </c>
      <c r="B128" s="1" t="s">
        <v>270</v>
      </c>
      <c r="C128" s="4">
        <f>67906/12</f>
        <v>5658.833333333333</v>
      </c>
      <c r="D128" s="4">
        <f>69943/12</f>
        <v>5828.583333333333</v>
      </c>
      <c r="E128" s="4">
        <f>69943/12</f>
        <v>5828.583333333333</v>
      </c>
      <c r="F128" s="4">
        <f>72041/12</f>
        <v>6003.416666666667</v>
      </c>
      <c r="G128" s="4">
        <f>72041/12</f>
        <v>6003.416666666667</v>
      </c>
      <c r="H128" s="4">
        <f>74203/12</f>
        <v>6183.583333333333</v>
      </c>
      <c r="I128" s="4">
        <f>74203/12</f>
        <v>6183.583333333333</v>
      </c>
      <c r="J128" s="4">
        <f>76429/12</f>
        <v>6369.083333333333</v>
      </c>
      <c r="K128" s="4">
        <f>76429/12</f>
        <v>6369.083333333333</v>
      </c>
      <c r="L128" s="4">
        <f>76429/12</f>
        <v>6369.083333333333</v>
      </c>
      <c r="M128" s="4">
        <f>83399/12</f>
        <v>6949.916666666667</v>
      </c>
      <c r="N128" s="4">
        <f>83399/12</f>
        <v>6949.916666666667</v>
      </c>
      <c r="O128" s="4">
        <f>85901/12</f>
        <v>7158.416666666667</v>
      </c>
      <c r="P128" s="4">
        <f>85901/12</f>
        <v>7158.416666666667</v>
      </c>
      <c r="Q128" s="4">
        <f>85901/12</f>
        <v>7158.416666666667</v>
      </c>
      <c r="R128" s="4">
        <f>88478/12</f>
        <v>7373.166666666667</v>
      </c>
      <c r="S128" s="4">
        <f>88478/12</f>
        <v>7373.166666666667</v>
      </c>
      <c r="T128" s="4">
        <f>91132/12</f>
        <v>7594.333333333333</v>
      </c>
      <c r="U128" s="4">
        <f>91132/12</f>
        <v>7594.333333333333</v>
      </c>
      <c r="V128" s="4">
        <f>91132/12</f>
        <v>7594.333333333333</v>
      </c>
      <c r="W128" s="4">
        <f>93866/12</f>
        <v>7822.166666666667</v>
      </c>
      <c r="X128" s="4">
        <f>93866/12</f>
        <v>7822.166666666667</v>
      </c>
      <c r="Y128" s="4">
        <f>93866/12</f>
        <v>7822.166666666667</v>
      </c>
      <c r="Z128" s="4">
        <f>96682/12</f>
        <v>8056.833333333333</v>
      </c>
      <c r="AA128" s="4">
        <f>96682/12</f>
        <v>8056.833333333333</v>
      </c>
      <c r="AB128" s="4">
        <f>98892/12</f>
        <v>8241</v>
      </c>
      <c r="AC128" s="5" t="s">
        <v>269</v>
      </c>
    </row>
    <row r="129" spans="1:29" ht="15.5" x14ac:dyDescent="0.35">
      <c r="A129" s="2" t="s">
        <v>271</v>
      </c>
      <c r="B129" s="1" t="s">
        <v>272</v>
      </c>
      <c r="C129" s="4">
        <f>103317/12</f>
        <v>8609.75</v>
      </c>
      <c r="D129" s="4">
        <f>106417/12</f>
        <v>8868.0833333333339</v>
      </c>
      <c r="E129" s="4">
        <f>106417/12</f>
        <v>8868.0833333333339</v>
      </c>
      <c r="F129" s="4">
        <f>109609/12</f>
        <v>9134.0833333333339</v>
      </c>
      <c r="G129" s="4">
        <f>109609/12</f>
        <v>9134.0833333333339</v>
      </c>
      <c r="H129" s="4">
        <f>112898/12</f>
        <v>9408.1666666666661</v>
      </c>
      <c r="I129" s="4">
        <f>112898/12</f>
        <v>9408.1666666666661</v>
      </c>
      <c r="J129" s="4">
        <f>116284/12</f>
        <v>9690.3333333333339</v>
      </c>
      <c r="K129" s="4">
        <f>116284/12</f>
        <v>9690.3333333333339</v>
      </c>
      <c r="L129" s="4">
        <f>116284/12</f>
        <v>9690.3333333333339</v>
      </c>
      <c r="M129" s="4">
        <f>126893/12</f>
        <v>10574.416666666666</v>
      </c>
      <c r="N129" s="4">
        <f>126893/12</f>
        <v>10574.416666666666</v>
      </c>
      <c r="O129" s="4">
        <f>130699/12</f>
        <v>10891.583333333334</v>
      </c>
      <c r="P129" s="4">
        <f>130699/12</f>
        <v>10891.583333333334</v>
      </c>
      <c r="Q129" s="4">
        <f>130699/12</f>
        <v>10891.583333333334</v>
      </c>
      <c r="R129" s="4">
        <f>134620/12</f>
        <v>11218.333333333334</v>
      </c>
      <c r="S129" s="4">
        <f>134620/12</f>
        <v>11218.333333333334</v>
      </c>
      <c r="T129" s="4">
        <f>138659/12</f>
        <v>11554.916666666666</v>
      </c>
      <c r="U129" s="4">
        <f>138659/12</f>
        <v>11554.916666666666</v>
      </c>
      <c r="V129" s="4">
        <f>138659/12</f>
        <v>11554.916666666666</v>
      </c>
      <c r="W129" s="4">
        <f>142819/12</f>
        <v>11901.583333333334</v>
      </c>
      <c r="X129" s="4">
        <f>142819/12</f>
        <v>11901.583333333334</v>
      </c>
      <c r="Y129" s="4">
        <f>142819/12</f>
        <v>11901.583333333334</v>
      </c>
      <c r="Z129" s="4">
        <f>147103/12</f>
        <v>12258.583333333334</v>
      </c>
      <c r="AA129" s="4">
        <f>147103/12</f>
        <v>12258.583333333334</v>
      </c>
      <c r="AB129" s="4">
        <f>150468/12</f>
        <v>12539</v>
      </c>
      <c r="AC129" s="5" t="s">
        <v>271</v>
      </c>
    </row>
    <row r="130" spans="1:29" ht="15.5" x14ac:dyDescent="0.35">
      <c r="A130" s="2" t="s">
        <v>527</v>
      </c>
      <c r="B130" s="1" t="s">
        <v>528</v>
      </c>
      <c r="C130" s="4">
        <f>62342/12</f>
        <v>5195.166666666667</v>
      </c>
      <c r="D130" s="4">
        <f>64212/12</f>
        <v>5351</v>
      </c>
      <c r="E130" s="4">
        <f>64212/12</f>
        <v>5351</v>
      </c>
      <c r="F130" s="4">
        <f>66139/12</f>
        <v>5511.583333333333</v>
      </c>
      <c r="G130" s="4">
        <f>66139/12</f>
        <v>5511.583333333333</v>
      </c>
      <c r="H130" s="4">
        <f>68123/12</f>
        <v>5676.916666666667</v>
      </c>
      <c r="I130" s="4">
        <f>68123/12</f>
        <v>5676.916666666667</v>
      </c>
      <c r="J130" s="4">
        <f>70166/12</f>
        <v>5847.166666666667</v>
      </c>
      <c r="K130" s="4">
        <f>70166/12</f>
        <v>5847.166666666667</v>
      </c>
      <c r="L130" s="4">
        <f>70166/12</f>
        <v>5847.166666666667</v>
      </c>
      <c r="M130" s="4">
        <f>76369/12</f>
        <v>6364.083333333333</v>
      </c>
      <c r="N130" s="4">
        <f>76369/12</f>
        <v>6364.083333333333</v>
      </c>
      <c r="O130" s="4">
        <f>78660/12</f>
        <v>6555</v>
      </c>
      <c r="P130" s="4">
        <f>78660/12</f>
        <v>6555</v>
      </c>
      <c r="Q130" s="4">
        <f>78660/12</f>
        <v>6555</v>
      </c>
      <c r="R130" s="4">
        <f>81020/12</f>
        <v>6751.666666666667</v>
      </c>
      <c r="S130" s="4">
        <f>81020/12</f>
        <v>6751.666666666667</v>
      </c>
      <c r="T130" s="4">
        <f>83450/12</f>
        <v>6954.166666666667</v>
      </c>
      <c r="U130" s="4">
        <f>83450/12</f>
        <v>6954.166666666667</v>
      </c>
      <c r="V130" s="4">
        <f>83450/12</f>
        <v>6954.166666666667</v>
      </c>
      <c r="W130" s="4">
        <f>85954/12</f>
        <v>7162.833333333333</v>
      </c>
      <c r="X130" s="4">
        <f>85954/12</f>
        <v>7162.833333333333</v>
      </c>
      <c r="Y130" s="4">
        <f>85954/12</f>
        <v>7162.833333333333</v>
      </c>
      <c r="Z130" s="4">
        <f>88533/12</f>
        <v>7377.75</v>
      </c>
      <c r="AA130" s="4">
        <f>88533/12</f>
        <v>7377.75</v>
      </c>
      <c r="AB130" s="4">
        <f>90396/12</f>
        <v>7533</v>
      </c>
      <c r="AC130" s="5" t="s">
        <v>514</v>
      </c>
    </row>
    <row r="131" spans="1:29" s="28" customFormat="1" ht="15.5" x14ac:dyDescent="0.35">
      <c r="A131" s="24" t="s">
        <v>531</v>
      </c>
      <c r="B131" s="25" t="s">
        <v>532</v>
      </c>
      <c r="C131" s="26">
        <f>57074/12</f>
        <v>4756.166666666667</v>
      </c>
      <c r="D131" s="26">
        <f>58786/12</f>
        <v>4898.833333333333</v>
      </c>
      <c r="E131" s="26">
        <f>58786/12</f>
        <v>4898.833333333333</v>
      </c>
      <c r="F131" s="26">
        <f>60550/12</f>
        <v>5045.833333333333</v>
      </c>
      <c r="G131" s="26">
        <f>60550/12</f>
        <v>5045.833333333333</v>
      </c>
      <c r="H131" s="26">
        <f>62366/12</f>
        <v>5197.166666666667</v>
      </c>
      <c r="I131" s="26">
        <f>62366/12</f>
        <v>5197.166666666667</v>
      </c>
      <c r="J131" s="26">
        <f>64237/12</f>
        <v>5353.083333333333</v>
      </c>
      <c r="K131" s="26">
        <f>64237/12</f>
        <v>5353.083333333333</v>
      </c>
      <c r="L131" s="26">
        <f>64237/12</f>
        <v>5353.083333333333</v>
      </c>
      <c r="M131" s="26">
        <f>69916/12</f>
        <v>5826.333333333333</v>
      </c>
      <c r="N131" s="26">
        <f>69916/12</f>
        <v>5826.333333333333</v>
      </c>
      <c r="O131" s="26">
        <f>72013/12</f>
        <v>6001.083333333333</v>
      </c>
      <c r="P131" s="26">
        <f>72013/12</f>
        <v>6001.083333333333</v>
      </c>
      <c r="Q131" s="26">
        <f>72013/12</f>
        <v>6001.083333333333</v>
      </c>
      <c r="R131" s="26">
        <f>74174/12</f>
        <v>6181.166666666667</v>
      </c>
      <c r="S131" s="26">
        <f>74174/12</f>
        <v>6181.166666666667</v>
      </c>
      <c r="T131" s="26">
        <f>76399/12</f>
        <v>6366.583333333333</v>
      </c>
      <c r="U131" s="26">
        <f>76399/12</f>
        <v>6366.583333333333</v>
      </c>
      <c r="V131" s="26">
        <f>76399/12</f>
        <v>6366.583333333333</v>
      </c>
      <c r="W131" s="26">
        <f>78691/12</f>
        <v>6557.583333333333</v>
      </c>
      <c r="X131" s="26">
        <f>78691/12</f>
        <v>6557.583333333333</v>
      </c>
      <c r="Y131" s="26">
        <f>78691/12</f>
        <v>6557.583333333333</v>
      </c>
      <c r="Z131" s="26">
        <f>81051/12</f>
        <v>6754.25</v>
      </c>
      <c r="AA131" s="26">
        <f>81051/12</f>
        <v>6754.25</v>
      </c>
      <c r="AB131" s="26">
        <f>82757/12</f>
        <v>6896.416666666667</v>
      </c>
      <c r="AC131" s="27" t="s">
        <v>278</v>
      </c>
    </row>
    <row r="132" spans="1:29" ht="15.5" x14ac:dyDescent="0.35">
      <c r="A132" s="2" t="s">
        <v>534</v>
      </c>
      <c r="B132" s="1" t="s">
        <v>536</v>
      </c>
      <c r="C132" s="4">
        <f>58278/12</f>
        <v>4856.5</v>
      </c>
      <c r="D132" s="4">
        <f>60026/12</f>
        <v>5002.166666666667</v>
      </c>
      <c r="E132" s="4">
        <f>60026/12</f>
        <v>5002.166666666667</v>
      </c>
      <c r="F132" s="4">
        <f>61827/12</f>
        <v>5152.25</v>
      </c>
      <c r="G132" s="4">
        <f>61827/12</f>
        <v>5152.25</v>
      </c>
      <c r="H132" s="4">
        <f>63682/12</f>
        <v>5306.833333333333</v>
      </c>
      <c r="I132" s="4">
        <f>63682/12</f>
        <v>5306.833333333333</v>
      </c>
      <c r="J132" s="4">
        <f>65592/12</f>
        <v>5466</v>
      </c>
      <c r="K132" s="4">
        <f>65592/12</f>
        <v>5466</v>
      </c>
      <c r="L132" s="4">
        <f>65592/12</f>
        <v>5466</v>
      </c>
      <c r="M132" s="4">
        <f>71391/12</f>
        <v>5949.25</v>
      </c>
      <c r="N132" s="4">
        <f>71391/12</f>
        <v>5949.25</v>
      </c>
      <c r="O132" s="4">
        <f>73532/12</f>
        <v>6127.666666666667</v>
      </c>
      <c r="P132" s="4">
        <f>73532/12</f>
        <v>6127.666666666667</v>
      </c>
      <c r="Q132" s="4">
        <f>73532/12</f>
        <v>6127.666666666667</v>
      </c>
      <c r="R132" s="4">
        <f>75738/12</f>
        <v>6311.5</v>
      </c>
      <c r="S132" s="4">
        <f>75738/12</f>
        <v>6311.5</v>
      </c>
      <c r="T132" s="4">
        <f>78010/12</f>
        <v>6500.833333333333</v>
      </c>
      <c r="U132" s="4">
        <f>78010/12</f>
        <v>6500.833333333333</v>
      </c>
      <c r="V132" s="4">
        <f>78010/12</f>
        <v>6500.833333333333</v>
      </c>
      <c r="W132" s="4">
        <f>80351/12</f>
        <v>6695.916666666667</v>
      </c>
      <c r="X132" s="4">
        <f>80351/12</f>
        <v>6695.916666666667</v>
      </c>
      <c r="Y132" s="4">
        <f>80351/12</f>
        <v>6695.916666666667</v>
      </c>
      <c r="Z132" s="4">
        <f>82761/12</f>
        <v>6896.75</v>
      </c>
      <c r="AA132" s="4">
        <f>82761/12</f>
        <v>6896.75</v>
      </c>
      <c r="AB132" s="4">
        <f>84503/12</f>
        <v>7041.916666666667</v>
      </c>
      <c r="AC132" s="5"/>
    </row>
    <row r="133" spans="1:29" ht="15.5" x14ac:dyDescent="0.35">
      <c r="A133" s="2" t="s">
        <v>273</v>
      </c>
      <c r="B133" s="1" t="s">
        <v>274</v>
      </c>
      <c r="C133" s="4">
        <f>45764/12</f>
        <v>3813.6666666666665</v>
      </c>
      <c r="D133" s="4">
        <f>47137/12</f>
        <v>3928.0833333333335</v>
      </c>
      <c r="E133" s="4">
        <f>47137/12</f>
        <v>3928.0833333333335</v>
      </c>
      <c r="F133" s="4">
        <f>48551/12</f>
        <v>4045.9166666666665</v>
      </c>
      <c r="G133" s="4">
        <f>48551/12</f>
        <v>4045.9166666666665</v>
      </c>
      <c r="H133" s="4">
        <f>50008/12</f>
        <v>4167.333333333333</v>
      </c>
      <c r="I133" s="4">
        <f>50008/12</f>
        <v>4167.333333333333</v>
      </c>
      <c r="J133" s="4">
        <f>51508/12</f>
        <v>4292.333333333333</v>
      </c>
      <c r="K133" s="4">
        <f>51508/12</f>
        <v>4292.333333333333</v>
      </c>
      <c r="L133" s="4">
        <f>51508/12</f>
        <v>4292.333333333333</v>
      </c>
      <c r="M133" s="4">
        <f>56061/12</f>
        <v>4671.75</v>
      </c>
      <c r="N133" s="4">
        <f>56061/12</f>
        <v>4671.75</v>
      </c>
      <c r="O133" s="4">
        <f>57743/12</f>
        <v>4811.916666666667</v>
      </c>
      <c r="P133" s="4">
        <f>57743/12</f>
        <v>4811.916666666667</v>
      </c>
      <c r="Q133" s="4">
        <f>57743/12</f>
        <v>4811.916666666667</v>
      </c>
      <c r="R133" s="4">
        <f>59475/12</f>
        <v>4956.25</v>
      </c>
      <c r="S133" s="4">
        <f>59475/12</f>
        <v>4956.25</v>
      </c>
      <c r="T133" s="4">
        <f>61259/12</f>
        <v>5104.916666666667</v>
      </c>
      <c r="U133" s="4">
        <f>61259/12</f>
        <v>5104.916666666667</v>
      </c>
      <c r="V133" s="4">
        <f>61259/12</f>
        <v>5104.916666666667</v>
      </c>
      <c r="W133" s="4">
        <f>63097/12</f>
        <v>5258.083333333333</v>
      </c>
      <c r="X133" s="4">
        <f>63097/12</f>
        <v>5258.083333333333</v>
      </c>
      <c r="Y133" s="4">
        <f>63097/12</f>
        <v>5258.083333333333</v>
      </c>
      <c r="Z133" s="4">
        <f>64990/12</f>
        <v>5415.833333333333</v>
      </c>
      <c r="AA133" s="4">
        <f>64990/12</f>
        <v>5415.833333333333</v>
      </c>
      <c r="AB133" s="4">
        <f>66358/12</f>
        <v>5529.833333333333</v>
      </c>
      <c r="AC133" s="5" t="s">
        <v>275</v>
      </c>
    </row>
    <row r="134" spans="1:29" ht="15.5" x14ac:dyDescent="0.35">
      <c r="A134" s="2" t="s">
        <v>276</v>
      </c>
      <c r="B134" s="1" t="s">
        <v>277</v>
      </c>
      <c r="C134" s="4">
        <f>47524/12</f>
        <v>3960.3333333333335</v>
      </c>
      <c r="D134" s="4">
        <f>48950/12</f>
        <v>4079.1666666666665</v>
      </c>
      <c r="E134" s="4">
        <f>48950/12</f>
        <v>4079.1666666666665</v>
      </c>
      <c r="F134" s="4">
        <f>50419/12</f>
        <v>4201.583333333333</v>
      </c>
      <c r="G134" s="4">
        <f>50419/12</f>
        <v>4201.583333333333</v>
      </c>
      <c r="H134" s="4">
        <f>51931/12</f>
        <v>4327.583333333333</v>
      </c>
      <c r="I134" s="4">
        <f>51931/12</f>
        <v>4327.583333333333</v>
      </c>
      <c r="J134" s="4">
        <f>53489/12</f>
        <v>4457.416666666667</v>
      </c>
      <c r="K134" s="4">
        <f>53489/12</f>
        <v>4457.416666666667</v>
      </c>
      <c r="L134" s="4">
        <f>53489/12</f>
        <v>4457.416666666667</v>
      </c>
      <c r="M134" s="4">
        <f>58217/12</f>
        <v>4851.416666666667</v>
      </c>
      <c r="N134" s="4">
        <f>58217/12</f>
        <v>4851.416666666667</v>
      </c>
      <c r="O134" s="4">
        <f>59964/12</f>
        <v>4997</v>
      </c>
      <c r="P134" s="4">
        <f>59964/12</f>
        <v>4997</v>
      </c>
      <c r="Q134" s="4">
        <f>59964/12</f>
        <v>4997</v>
      </c>
      <c r="R134" s="4">
        <f>61763/12</f>
        <v>5146.916666666667</v>
      </c>
      <c r="S134" s="4">
        <f>61763/12</f>
        <v>5146.916666666667</v>
      </c>
      <c r="T134" s="4">
        <f>63616/12</f>
        <v>5301.333333333333</v>
      </c>
      <c r="U134" s="4">
        <f>63616/12</f>
        <v>5301.333333333333</v>
      </c>
      <c r="V134" s="4">
        <f>63616/12</f>
        <v>5301.333333333333</v>
      </c>
      <c r="W134" s="4">
        <f>65524/12</f>
        <v>5460.333333333333</v>
      </c>
      <c r="X134" s="4">
        <f>65524/12</f>
        <v>5460.333333333333</v>
      </c>
      <c r="Y134" s="4">
        <f>65524/12</f>
        <v>5460.333333333333</v>
      </c>
      <c r="Z134" s="4">
        <f>67490/12</f>
        <v>5624.166666666667</v>
      </c>
      <c r="AA134" s="4">
        <f>67490/12</f>
        <v>5624.166666666667</v>
      </c>
      <c r="AB134" s="4">
        <f>68910/12</f>
        <v>5742.5</v>
      </c>
      <c r="AC134" s="5" t="s">
        <v>278</v>
      </c>
    </row>
    <row r="135" spans="1:29" ht="15.5" x14ac:dyDescent="0.35">
      <c r="A135" s="2" t="s">
        <v>279</v>
      </c>
      <c r="B135" s="1" t="s">
        <v>280</v>
      </c>
      <c r="C135" s="4">
        <f>53486/12</f>
        <v>4457.166666666667</v>
      </c>
      <c r="D135" s="4">
        <f>55090/12</f>
        <v>4590.833333333333</v>
      </c>
      <c r="E135" s="4">
        <f>55090/12</f>
        <v>4590.833333333333</v>
      </c>
      <c r="F135" s="4">
        <f>56743/12</f>
        <v>4728.583333333333</v>
      </c>
      <c r="G135" s="4">
        <f>56743/12</f>
        <v>4728.583333333333</v>
      </c>
      <c r="H135" s="4">
        <f>58446/12</f>
        <v>4870.5</v>
      </c>
      <c r="I135" s="4">
        <f>58446/12</f>
        <v>4870.5</v>
      </c>
      <c r="J135" s="4">
        <f>60199/12</f>
        <v>5016.583333333333</v>
      </c>
      <c r="K135" s="4">
        <f>60199/12</f>
        <v>5016.583333333333</v>
      </c>
      <c r="L135" s="4">
        <f>60199/12</f>
        <v>5016.583333333333</v>
      </c>
      <c r="M135" s="4">
        <f>65520/12</f>
        <v>5460</v>
      </c>
      <c r="N135" s="4">
        <f>65520/12</f>
        <v>5460</v>
      </c>
      <c r="O135" s="4">
        <f>67486/12</f>
        <v>5623.833333333333</v>
      </c>
      <c r="P135" s="4">
        <f>67486/12</f>
        <v>5623.833333333333</v>
      </c>
      <c r="Q135" s="4">
        <f>67486/12</f>
        <v>5623.833333333333</v>
      </c>
      <c r="R135" s="4">
        <f>69510/12</f>
        <v>5792.5</v>
      </c>
      <c r="S135" s="4">
        <f>69510/12</f>
        <v>5792.5</v>
      </c>
      <c r="T135" s="4">
        <f>71596/12</f>
        <v>5966.333333333333</v>
      </c>
      <c r="U135" s="4">
        <f>71596/12</f>
        <v>5966.333333333333</v>
      </c>
      <c r="V135" s="4">
        <f>71596/12</f>
        <v>5966.333333333333</v>
      </c>
      <c r="W135" s="4">
        <f>73744/12</f>
        <v>6145.333333333333</v>
      </c>
      <c r="X135" s="4">
        <f>73744/12</f>
        <v>6145.333333333333</v>
      </c>
      <c r="Y135" s="4">
        <f>73744/12</f>
        <v>6145.333333333333</v>
      </c>
      <c r="Z135" s="4">
        <f>75956/12</f>
        <v>6329.666666666667</v>
      </c>
      <c r="AA135" s="4">
        <f>75956/12</f>
        <v>6329.666666666667</v>
      </c>
      <c r="AB135" s="4">
        <f>77555/12</f>
        <v>6462.916666666667</v>
      </c>
      <c r="AC135" s="5" t="s">
        <v>281</v>
      </c>
    </row>
    <row r="136" spans="1:29" ht="15.5" x14ac:dyDescent="0.35">
      <c r="A136" s="2" t="s">
        <v>282</v>
      </c>
      <c r="B136" s="1" t="s">
        <v>283</v>
      </c>
      <c r="C136" s="4">
        <f>89536/12</f>
        <v>7461.333333333333</v>
      </c>
      <c r="D136" s="4">
        <f>92222/12</f>
        <v>7685.166666666667</v>
      </c>
      <c r="E136" s="4">
        <f>92222/12</f>
        <v>7685.166666666667</v>
      </c>
      <c r="F136" s="4">
        <f>94989/12</f>
        <v>7915.75</v>
      </c>
      <c r="G136" s="4">
        <f>94989/12</f>
        <v>7915.75</v>
      </c>
      <c r="H136" s="4">
        <f>97838/12</f>
        <v>8153.166666666667</v>
      </c>
      <c r="I136" s="4">
        <f>97838/12</f>
        <v>8153.166666666667</v>
      </c>
      <c r="J136" s="4">
        <f>100773/12</f>
        <v>8397.75</v>
      </c>
      <c r="K136" s="4">
        <f>100773/12</f>
        <v>8397.75</v>
      </c>
      <c r="L136" s="4">
        <f>100773/12</f>
        <v>8397.75</v>
      </c>
      <c r="M136" s="4">
        <f>109681/12</f>
        <v>9140.0833333333339</v>
      </c>
      <c r="N136" s="4">
        <f>109681/12</f>
        <v>9140.0833333333339</v>
      </c>
      <c r="O136" s="4">
        <f>112972/12</f>
        <v>9414.3333333333339</v>
      </c>
      <c r="P136" s="4">
        <f>112972/12</f>
        <v>9414.3333333333339</v>
      </c>
      <c r="Q136" s="4">
        <f>112972/12</f>
        <v>9414.3333333333339</v>
      </c>
      <c r="R136" s="4">
        <f>116361/12</f>
        <v>9696.75</v>
      </c>
      <c r="S136" s="4">
        <f>116361/12</f>
        <v>9696.75</v>
      </c>
      <c r="T136" s="4">
        <f>119852/12</f>
        <v>9987.6666666666661</v>
      </c>
      <c r="U136" s="4">
        <f>119852/12</f>
        <v>9987.6666666666661</v>
      </c>
      <c r="V136" s="4">
        <f>119852/12</f>
        <v>9987.6666666666661</v>
      </c>
      <c r="W136" s="4">
        <f>123447/12</f>
        <v>10287.25</v>
      </c>
      <c r="X136" s="4">
        <f>123447/12</f>
        <v>10287.25</v>
      </c>
      <c r="Y136" s="4">
        <f>123447/12</f>
        <v>10287.25</v>
      </c>
      <c r="Z136" s="4">
        <f>127151/12</f>
        <v>10595.916666666666</v>
      </c>
      <c r="AA136" s="4">
        <f>127151/12</f>
        <v>10595.916666666666</v>
      </c>
      <c r="AB136" s="4">
        <f>129827/12</f>
        <v>10818.916666666666</v>
      </c>
      <c r="AC136" s="5" t="s">
        <v>282</v>
      </c>
    </row>
    <row r="137" spans="1:29" ht="15.5" x14ac:dyDescent="0.35">
      <c r="A137" s="2" t="s">
        <v>284</v>
      </c>
      <c r="B137" s="1" t="s">
        <v>285</v>
      </c>
      <c r="C137" s="4">
        <f>68919/12</f>
        <v>5743.25</v>
      </c>
      <c r="D137" s="4">
        <f>70987/12</f>
        <v>5915.583333333333</v>
      </c>
      <c r="E137" s="4">
        <f>70987/12</f>
        <v>5915.583333333333</v>
      </c>
      <c r="F137" s="4">
        <f>73117/12</f>
        <v>6093.083333333333</v>
      </c>
      <c r="G137" s="4">
        <f>73117/12</f>
        <v>6093.083333333333</v>
      </c>
      <c r="H137" s="4">
        <f>75310/12</f>
        <v>6275.833333333333</v>
      </c>
      <c r="I137" s="4">
        <f>75310/12</f>
        <v>6275.833333333333</v>
      </c>
      <c r="J137" s="4">
        <f>77569/12</f>
        <v>6464.083333333333</v>
      </c>
      <c r="K137" s="4">
        <f>77569/12</f>
        <v>6464.083333333333</v>
      </c>
      <c r="L137" s="4">
        <f>77569/12</f>
        <v>6464.083333333333</v>
      </c>
      <c r="M137" s="4">
        <f>84644/12</f>
        <v>7053.666666666667</v>
      </c>
      <c r="N137" s="4">
        <f>84644/12</f>
        <v>7053.666666666667</v>
      </c>
      <c r="O137" s="4">
        <f>87183/12</f>
        <v>7265.25</v>
      </c>
      <c r="P137" s="4">
        <f>87183/12</f>
        <v>7265.25</v>
      </c>
      <c r="Q137" s="4">
        <f>87183/12</f>
        <v>7265.25</v>
      </c>
      <c r="R137" s="4">
        <f>89798/12</f>
        <v>7483.166666666667</v>
      </c>
      <c r="S137" s="4">
        <f>89798/12</f>
        <v>7483.166666666667</v>
      </c>
      <c r="T137" s="4">
        <f>92492/12</f>
        <v>7707.666666666667</v>
      </c>
      <c r="U137" s="4">
        <f>92492/12</f>
        <v>7707.666666666667</v>
      </c>
      <c r="V137" s="4">
        <f>92492/12</f>
        <v>7707.666666666667</v>
      </c>
      <c r="W137" s="4">
        <f>95267/12</f>
        <v>7938.916666666667</v>
      </c>
      <c r="X137" s="4">
        <f>95267/12</f>
        <v>7938.916666666667</v>
      </c>
      <c r="Y137" s="4">
        <f>95267/12</f>
        <v>7938.916666666667</v>
      </c>
      <c r="Z137" s="4">
        <f>98125/12</f>
        <v>8177.083333333333</v>
      </c>
      <c r="AA137" s="4">
        <f>98125/12</f>
        <v>8177.083333333333</v>
      </c>
      <c r="AB137" s="4">
        <f>100368/12</f>
        <v>8364</v>
      </c>
      <c r="AC137" s="5" t="s">
        <v>284</v>
      </c>
    </row>
    <row r="138" spans="1:29" ht="15.5" x14ac:dyDescent="0.35">
      <c r="A138" s="2" t="s">
        <v>286</v>
      </c>
      <c r="B138" s="1" t="s">
        <v>287</v>
      </c>
      <c r="C138" s="4">
        <f>57252/12</f>
        <v>4771</v>
      </c>
      <c r="D138" s="4">
        <f>58969/12</f>
        <v>4914.083333333333</v>
      </c>
      <c r="E138" s="4">
        <f>58969/12</f>
        <v>4914.083333333333</v>
      </c>
      <c r="F138" s="4">
        <f>60738/12</f>
        <v>5061.5</v>
      </c>
      <c r="G138" s="4">
        <f>60738/12</f>
        <v>5061.5</v>
      </c>
      <c r="H138" s="4">
        <f>62560/12</f>
        <v>5213.333333333333</v>
      </c>
      <c r="I138" s="4">
        <f>62560/12</f>
        <v>5213.333333333333</v>
      </c>
      <c r="J138" s="4">
        <f>64437/12</f>
        <v>5369.75</v>
      </c>
      <c r="K138" s="4">
        <f>64437/12</f>
        <v>5369.75</v>
      </c>
      <c r="L138" s="4">
        <f>64437/12</f>
        <v>5369.75</v>
      </c>
      <c r="M138" s="4">
        <f>70133/12</f>
        <v>5844.416666666667</v>
      </c>
      <c r="N138" s="4">
        <f>70133/12</f>
        <v>5844.416666666667</v>
      </c>
      <c r="O138" s="4">
        <f>72237/12</f>
        <v>6019.75</v>
      </c>
      <c r="P138" s="4">
        <f>72237/12</f>
        <v>6019.75</v>
      </c>
      <c r="Q138" s="4">
        <f>72237/12</f>
        <v>6019.75</v>
      </c>
      <c r="R138" s="4">
        <f>74404/12</f>
        <v>6200.333333333333</v>
      </c>
      <c r="S138" s="4">
        <f>74404/12</f>
        <v>6200.333333333333</v>
      </c>
      <c r="T138" s="4">
        <f>76636/12</f>
        <v>6386.333333333333</v>
      </c>
      <c r="U138" s="4">
        <f>76636/12</f>
        <v>6386.333333333333</v>
      </c>
      <c r="V138" s="4">
        <f>76636/12</f>
        <v>6386.333333333333</v>
      </c>
      <c r="W138" s="4">
        <f>78935/12</f>
        <v>6577.916666666667</v>
      </c>
      <c r="X138" s="4">
        <f>78935/12</f>
        <v>6577.916666666667</v>
      </c>
      <c r="Y138" s="4">
        <f>78935/12</f>
        <v>6577.916666666667</v>
      </c>
      <c r="Z138" s="4">
        <f>81303/12</f>
        <v>6775.25</v>
      </c>
      <c r="AA138" s="4">
        <f>81303/12</f>
        <v>6775.25</v>
      </c>
      <c r="AB138" s="4">
        <f>83015/12</f>
        <v>6917.916666666667</v>
      </c>
      <c r="AC138" s="5" t="s">
        <v>288</v>
      </c>
    </row>
    <row r="139" spans="1:29" ht="15.5" x14ac:dyDescent="0.35">
      <c r="A139" s="2" t="s">
        <v>289</v>
      </c>
      <c r="B139" s="1" t="s">
        <v>290</v>
      </c>
      <c r="C139" s="4">
        <f>61540/12</f>
        <v>5128.333333333333</v>
      </c>
      <c r="D139" s="4">
        <f>63387/12</f>
        <v>5282.25</v>
      </c>
      <c r="E139" s="4">
        <f>63387/12</f>
        <v>5282.25</v>
      </c>
      <c r="F139" s="4">
        <f>65288/12</f>
        <v>5440.666666666667</v>
      </c>
      <c r="G139" s="4">
        <f>65288/12</f>
        <v>5440.666666666667</v>
      </c>
      <c r="H139" s="4">
        <f>67247/12</f>
        <v>5603.916666666667</v>
      </c>
      <c r="I139" s="4">
        <f>67247/12</f>
        <v>5603.916666666667</v>
      </c>
      <c r="J139" s="4">
        <f>69264/12</f>
        <v>5772</v>
      </c>
      <c r="K139" s="4">
        <f>69264/12</f>
        <v>5772</v>
      </c>
      <c r="L139" s="4">
        <f>69264/12</f>
        <v>5772</v>
      </c>
      <c r="M139" s="4">
        <f>75387/12</f>
        <v>6282.25</v>
      </c>
      <c r="N139" s="4">
        <f>75387/12</f>
        <v>6282.25</v>
      </c>
      <c r="O139" s="4">
        <f>77649/12</f>
        <v>6470.75</v>
      </c>
      <c r="P139" s="4">
        <f>77649/12</f>
        <v>6470.75</v>
      </c>
      <c r="Q139" s="4">
        <f>77649/12</f>
        <v>6470.75</v>
      </c>
      <c r="R139" s="4">
        <f>79978/12</f>
        <v>6664.833333333333</v>
      </c>
      <c r="S139" s="4">
        <f>79978/12</f>
        <v>6664.833333333333</v>
      </c>
      <c r="T139" s="4">
        <f>82377/12</f>
        <v>6864.75</v>
      </c>
      <c r="U139" s="4">
        <f>82377/12</f>
        <v>6864.75</v>
      </c>
      <c r="V139" s="4">
        <f>82377/12</f>
        <v>6864.75</v>
      </c>
      <c r="W139" s="4">
        <f>84849/12</f>
        <v>7070.75</v>
      </c>
      <c r="X139" s="4">
        <f>84849/12</f>
        <v>7070.75</v>
      </c>
      <c r="Y139" s="4">
        <f>84849/12</f>
        <v>7070.75</v>
      </c>
      <c r="Z139" s="4">
        <f>87394/12</f>
        <v>7282.833333333333</v>
      </c>
      <c r="AA139" s="4">
        <f>87394/12</f>
        <v>7282.833333333333</v>
      </c>
      <c r="AB139" s="4">
        <f>89234/12</f>
        <v>7436.166666666667</v>
      </c>
      <c r="AC139" s="5" t="s">
        <v>289</v>
      </c>
    </row>
    <row r="140" spans="1:29" ht="15.5" x14ac:dyDescent="0.35">
      <c r="A140" s="2" t="s">
        <v>291</v>
      </c>
      <c r="B140" s="1" t="s">
        <v>292</v>
      </c>
      <c r="C140" s="4">
        <f>62233/23</f>
        <v>2705.782608695652</v>
      </c>
      <c r="D140" s="4">
        <f>64100/12</f>
        <v>5341.666666666667</v>
      </c>
      <c r="E140" s="4">
        <f>64100/12</f>
        <v>5341.666666666667</v>
      </c>
      <c r="F140" s="4">
        <f>66023/12</f>
        <v>5501.916666666667</v>
      </c>
      <c r="G140" s="4">
        <f>66023/12</f>
        <v>5501.916666666667</v>
      </c>
      <c r="H140" s="4">
        <f>68003/12</f>
        <v>5666.916666666667</v>
      </c>
      <c r="I140" s="4">
        <f>68003/12</f>
        <v>5666.916666666667</v>
      </c>
      <c r="J140" s="4">
        <f>70043/12</f>
        <v>5836.916666666667</v>
      </c>
      <c r="K140" s="4">
        <f>70043/12</f>
        <v>5836.916666666667</v>
      </c>
      <c r="L140" s="4">
        <f>70043/12</f>
        <v>5836.916666666667</v>
      </c>
      <c r="M140" s="4">
        <f>76235/12</f>
        <v>6352.916666666667</v>
      </c>
      <c r="N140" s="4">
        <f>76235/12</f>
        <v>6352.916666666667</v>
      </c>
      <c r="O140" s="4">
        <f>78522/12</f>
        <v>6543.5</v>
      </c>
      <c r="P140" s="4">
        <f>78522/12</f>
        <v>6543.5</v>
      </c>
      <c r="Q140" s="4">
        <f>78522/12</f>
        <v>6543.5</v>
      </c>
      <c r="R140" s="4">
        <f>80878/12</f>
        <v>6739.833333333333</v>
      </c>
      <c r="S140" s="4">
        <f>80878/12</f>
        <v>6739.833333333333</v>
      </c>
      <c r="T140" s="4">
        <f>83304/12</f>
        <v>6942</v>
      </c>
      <c r="U140" s="4">
        <f>83304/12</f>
        <v>6942</v>
      </c>
      <c r="V140" s="4">
        <f>83304/12</f>
        <v>6942</v>
      </c>
      <c r="W140" s="4">
        <f>85803/12</f>
        <v>7150.25</v>
      </c>
      <c r="X140" s="4">
        <f>85803/12</f>
        <v>7150.25</v>
      </c>
      <c r="Y140" s="4">
        <f>85803/12</f>
        <v>7150.25</v>
      </c>
      <c r="Z140" s="4">
        <f>88377/12</f>
        <v>7364.75</v>
      </c>
      <c r="AA140" s="4">
        <f>88377/12</f>
        <v>7364.75</v>
      </c>
      <c r="AB140" s="4">
        <f>90237/12</f>
        <v>7519.75</v>
      </c>
      <c r="AC140" s="5" t="s">
        <v>291</v>
      </c>
    </row>
    <row r="141" spans="1:29" ht="15.5" x14ac:dyDescent="0.35">
      <c r="A141" s="2" t="s">
        <v>509</v>
      </c>
      <c r="B141" s="1" t="s">
        <v>293</v>
      </c>
      <c r="C141" s="4">
        <f>94369/12</f>
        <v>7864.083333333333</v>
      </c>
      <c r="D141" s="4">
        <f>97200/12</f>
        <v>8100</v>
      </c>
      <c r="E141" s="4">
        <f>97200/12</f>
        <v>8100</v>
      </c>
      <c r="F141" s="4">
        <f>100116/12</f>
        <v>8343</v>
      </c>
      <c r="G141" s="4">
        <f>100116/12</f>
        <v>8343</v>
      </c>
      <c r="H141" s="4">
        <f>103119/12</f>
        <v>8593.25</v>
      </c>
      <c r="I141" s="4">
        <f>103119/12</f>
        <v>8593.25</v>
      </c>
      <c r="J141" s="4">
        <f>106213/12</f>
        <v>8851.0833333333339</v>
      </c>
      <c r="K141" s="4">
        <f>106213/12</f>
        <v>8851.0833333333339</v>
      </c>
      <c r="L141" s="4">
        <f>106213/12</f>
        <v>8851.0833333333339</v>
      </c>
      <c r="M141" s="4">
        <f>115602/12</f>
        <v>9633.5</v>
      </c>
      <c r="N141" s="4">
        <f>115602/12</f>
        <v>9633.5</v>
      </c>
      <c r="O141" s="4">
        <f>119070/12</f>
        <v>9922.5</v>
      </c>
      <c r="P141" s="4">
        <f>119070/12</f>
        <v>9922.5</v>
      </c>
      <c r="Q141" s="4">
        <f>119070/12</f>
        <v>9922.5</v>
      </c>
      <c r="R141" s="4">
        <f>122642/12</f>
        <v>10220.166666666666</v>
      </c>
      <c r="S141" s="4">
        <f>122642/12</f>
        <v>10220.166666666666</v>
      </c>
      <c r="T141" s="4">
        <f>126321/12</f>
        <v>10526.75</v>
      </c>
      <c r="U141" s="4">
        <f>126321/12</f>
        <v>10526.75</v>
      </c>
      <c r="V141" s="4">
        <f>126321/12</f>
        <v>10526.75</v>
      </c>
      <c r="W141" s="4">
        <f>130111/12</f>
        <v>10842.583333333334</v>
      </c>
      <c r="X141" s="4">
        <f>130111/12</f>
        <v>10842.583333333334</v>
      </c>
      <c r="Y141" s="4">
        <f>130111/12</f>
        <v>10842.583333333334</v>
      </c>
      <c r="Z141" s="4">
        <f>134014/12</f>
        <v>11167.833333333334</v>
      </c>
      <c r="AA141" s="4">
        <f>134014/12</f>
        <v>11167.833333333334</v>
      </c>
      <c r="AB141" s="4">
        <f>136834/12</f>
        <v>11402.833333333334</v>
      </c>
      <c r="AC141" s="5" t="s">
        <v>294</v>
      </c>
    </row>
    <row r="142" spans="1:29" ht="15.5" x14ac:dyDescent="0.35">
      <c r="A142" s="2" t="s">
        <v>295</v>
      </c>
      <c r="B142" s="1" t="s">
        <v>296</v>
      </c>
      <c r="C142" s="4">
        <f>82812/12</f>
        <v>6901</v>
      </c>
      <c r="D142" s="4">
        <f>85296/12</f>
        <v>7108</v>
      </c>
      <c r="E142" s="4">
        <f>85296/12</f>
        <v>7108</v>
      </c>
      <c r="F142" s="4">
        <f>87855/12</f>
        <v>7321.25</v>
      </c>
      <c r="G142" s="4">
        <f>87855/12</f>
        <v>7321.25</v>
      </c>
      <c r="H142" s="4">
        <f>90491/12</f>
        <v>7540.916666666667</v>
      </c>
      <c r="I142" s="4">
        <f>90491/12</f>
        <v>7540.916666666667</v>
      </c>
      <c r="J142" s="4">
        <f>93206/12</f>
        <v>7767.166666666667</v>
      </c>
      <c r="K142" s="4">
        <f>93206/12</f>
        <v>7767.166666666667</v>
      </c>
      <c r="L142" s="4">
        <f>93206/12</f>
        <v>7767.166666666667</v>
      </c>
      <c r="M142" s="4">
        <f>101445/12</f>
        <v>8453.75</v>
      </c>
      <c r="N142" s="4">
        <f>101445/12</f>
        <v>8453.75</v>
      </c>
      <c r="O142" s="4">
        <f>104488/12</f>
        <v>8707.3333333333339</v>
      </c>
      <c r="P142" s="4">
        <f>104488/12</f>
        <v>8707.3333333333339</v>
      </c>
      <c r="Q142" s="4">
        <f>104488/12</f>
        <v>8707.3333333333339</v>
      </c>
      <c r="R142" s="4">
        <f>107623/12</f>
        <v>8968.5833333333339</v>
      </c>
      <c r="S142" s="4">
        <f>107623/12</f>
        <v>8968.5833333333339</v>
      </c>
      <c r="T142" s="4">
        <f>110851/12</f>
        <v>9237.5833333333339</v>
      </c>
      <c r="U142" s="4">
        <f>110851/12</f>
        <v>9237.5833333333339</v>
      </c>
      <c r="V142" s="4">
        <f>110851/12</f>
        <v>9237.5833333333339</v>
      </c>
      <c r="W142" s="4">
        <f>114177/12</f>
        <v>9514.75</v>
      </c>
      <c r="X142" s="4">
        <f>114177/12</f>
        <v>9514.75</v>
      </c>
      <c r="Y142" s="4">
        <f>114177/12</f>
        <v>9514.75</v>
      </c>
      <c r="Z142" s="4">
        <f>117602/12</f>
        <v>9800.1666666666661</v>
      </c>
      <c r="AA142" s="4">
        <f>117602/12</f>
        <v>9800.1666666666661</v>
      </c>
      <c r="AB142" s="4">
        <f>120077/12</f>
        <v>10006.416666666666</v>
      </c>
      <c r="AC142" s="5" t="s">
        <v>295</v>
      </c>
    </row>
    <row r="143" spans="1:29" ht="15.5" x14ac:dyDescent="0.35">
      <c r="A143" s="2" t="s">
        <v>297</v>
      </c>
      <c r="B143" s="1" t="s">
        <v>298</v>
      </c>
      <c r="C143" s="4">
        <f>101340/12</f>
        <v>8445</v>
      </c>
      <c r="D143" s="4">
        <f>104380/12</f>
        <v>8698.3333333333339</v>
      </c>
      <c r="E143" s="4">
        <f>104380/12</f>
        <v>8698.3333333333339</v>
      </c>
      <c r="F143" s="4">
        <f>107511/12</f>
        <v>8959.25</v>
      </c>
      <c r="G143" s="4">
        <f>107511/12</f>
        <v>8959.25</v>
      </c>
      <c r="H143" s="4">
        <f>110737/12</f>
        <v>9228.0833333333339</v>
      </c>
      <c r="I143" s="4">
        <f>110737/12</f>
        <v>9228.0833333333339</v>
      </c>
      <c r="J143" s="4">
        <f>114059/12</f>
        <v>9504.9166666666661</v>
      </c>
      <c r="K143" s="4">
        <f>114059/12</f>
        <v>9504.9166666666661</v>
      </c>
      <c r="L143" s="4">
        <f>114059/12</f>
        <v>9504.9166666666661</v>
      </c>
      <c r="M143" s="4">
        <f>124141/12</f>
        <v>10345.083333333334</v>
      </c>
      <c r="N143" s="4">
        <f>124141/12</f>
        <v>10345.083333333334</v>
      </c>
      <c r="O143" s="4">
        <f>127865/12</f>
        <v>10655.416666666666</v>
      </c>
      <c r="P143" s="4">
        <f>127865/12</f>
        <v>10655.416666666666</v>
      </c>
      <c r="Q143" s="4">
        <f>127865/12</f>
        <v>10655.416666666666</v>
      </c>
      <c r="R143" s="4">
        <f>131701/12</f>
        <v>10975.083333333334</v>
      </c>
      <c r="S143" s="4">
        <f>131701/12</f>
        <v>10975.083333333334</v>
      </c>
      <c r="T143" s="4">
        <f>135652/12</f>
        <v>11304.333333333334</v>
      </c>
      <c r="U143" s="4">
        <f>135652/12</f>
        <v>11304.333333333334</v>
      </c>
      <c r="V143" s="4">
        <f>135652/12</f>
        <v>11304.333333333334</v>
      </c>
      <c r="W143" s="4">
        <f>139722/12</f>
        <v>11643.5</v>
      </c>
      <c r="X143" s="4">
        <f>139722/12</f>
        <v>11643.5</v>
      </c>
      <c r="Y143" s="4">
        <f>139722/12</f>
        <v>11643.5</v>
      </c>
      <c r="Z143" s="4">
        <f>143914/12</f>
        <v>11992.833333333334</v>
      </c>
      <c r="AA143" s="4">
        <f>143914/12</f>
        <v>11992.833333333334</v>
      </c>
      <c r="AB143" s="4">
        <f>146942/12</f>
        <v>12245.166666666666</v>
      </c>
      <c r="AC143" s="5" t="s">
        <v>297</v>
      </c>
    </row>
    <row r="144" spans="1:29" ht="15.5" x14ac:dyDescent="0.35">
      <c r="A144" s="2" t="s">
        <v>299</v>
      </c>
      <c r="B144" s="1" t="s">
        <v>300</v>
      </c>
      <c r="C144" s="4">
        <f>64309/12</f>
        <v>5359.083333333333</v>
      </c>
      <c r="D144" s="4">
        <f>66238/12</f>
        <v>5519.833333333333</v>
      </c>
      <c r="E144" s="4">
        <f>66238/12</f>
        <v>5519.833333333333</v>
      </c>
      <c r="F144" s="4">
        <f>68226/12</f>
        <v>5685.5</v>
      </c>
      <c r="G144" s="4">
        <f>68226/12</f>
        <v>5685.5</v>
      </c>
      <c r="H144" s="4">
        <f>70272/12</f>
        <v>5856</v>
      </c>
      <c r="I144" s="4">
        <f>70272/12</f>
        <v>5856</v>
      </c>
      <c r="J144" s="4">
        <f>72380/12</f>
        <v>6031.666666666667</v>
      </c>
      <c r="K144" s="4">
        <f>72380/12</f>
        <v>6031.666666666667</v>
      </c>
      <c r="L144" s="4">
        <f>72380/12</f>
        <v>6031.666666666667</v>
      </c>
      <c r="M144" s="4">
        <f>78779/12</f>
        <v>6564.916666666667</v>
      </c>
      <c r="N144" s="4">
        <f>78779/12</f>
        <v>6564.916666666667</v>
      </c>
      <c r="O144" s="4">
        <f>81142/12</f>
        <v>6761.833333333333</v>
      </c>
      <c r="P144" s="4">
        <f>81142/12</f>
        <v>6761.833333333333</v>
      </c>
      <c r="Q144" s="4">
        <f>81142/12</f>
        <v>6761.833333333333</v>
      </c>
      <c r="R144" s="4">
        <f>83576/12</f>
        <v>6964.666666666667</v>
      </c>
      <c r="S144" s="4">
        <f>83576/12</f>
        <v>6964.666666666667</v>
      </c>
      <c r="T144" s="4">
        <f>86084/12</f>
        <v>7173.666666666667</v>
      </c>
      <c r="U144" s="4">
        <f>86084/12</f>
        <v>7173.666666666667</v>
      </c>
      <c r="V144" s="4">
        <f>86084/12</f>
        <v>7173.666666666667</v>
      </c>
      <c r="W144" s="4">
        <f>88666/12</f>
        <v>7388.833333333333</v>
      </c>
      <c r="X144" s="4">
        <f>88666/12</f>
        <v>7388.833333333333</v>
      </c>
      <c r="Y144" s="4">
        <f>88666/12</f>
        <v>7388.833333333333</v>
      </c>
      <c r="Z144" s="4">
        <f>91326/12</f>
        <v>7610.5</v>
      </c>
      <c r="AA144" s="4">
        <f>91326/12</f>
        <v>7610.5</v>
      </c>
      <c r="AB144" s="4">
        <f>93248/12</f>
        <v>7770.666666666667</v>
      </c>
      <c r="AC144" s="5" t="s">
        <v>299</v>
      </c>
    </row>
    <row r="145" spans="1:29" ht="15.5" x14ac:dyDescent="0.35">
      <c r="A145" s="2" t="s">
        <v>301</v>
      </c>
      <c r="B145" s="1" t="s">
        <v>302</v>
      </c>
      <c r="C145" s="4">
        <f>104850/12</f>
        <v>8737.5</v>
      </c>
      <c r="D145" s="4">
        <f>107995/12</f>
        <v>8999.5833333333339</v>
      </c>
      <c r="E145" s="4">
        <f>107995/12</f>
        <v>8999.5833333333339</v>
      </c>
      <c r="F145" s="4">
        <f>111235/12</f>
        <v>9269.5833333333339</v>
      </c>
      <c r="G145" s="4">
        <f>111235/12</f>
        <v>9269.5833333333339</v>
      </c>
      <c r="H145" s="4">
        <f>114572/12</f>
        <v>9547.6666666666661</v>
      </c>
      <c r="I145" s="4">
        <f>114572/12</f>
        <v>9547.6666666666661</v>
      </c>
      <c r="J145" s="4">
        <f>118009/12</f>
        <v>9834.0833333333339</v>
      </c>
      <c r="K145" s="4">
        <f>118009/12</f>
        <v>9834.0833333333339</v>
      </c>
      <c r="L145" s="4">
        <f>118009/12</f>
        <v>9834.0833333333339</v>
      </c>
      <c r="M145" s="4">
        <f>128441/12</f>
        <v>10703.416666666666</v>
      </c>
      <c r="N145" s="4">
        <f>128441/12</f>
        <v>10703.416666666666</v>
      </c>
      <c r="O145" s="4">
        <f>132294/12</f>
        <v>11024.5</v>
      </c>
      <c r="P145" s="4">
        <f>132294/12</f>
        <v>11024.5</v>
      </c>
      <c r="Q145" s="4">
        <f>132294/12</f>
        <v>11024.5</v>
      </c>
      <c r="R145" s="4">
        <f>136263/12</f>
        <v>11355.25</v>
      </c>
      <c r="S145" s="4">
        <f>136263/12</f>
        <v>11355.25</v>
      </c>
      <c r="T145" s="4">
        <f>140351/12</f>
        <v>11695.916666666666</v>
      </c>
      <c r="U145" s="4">
        <f>140351/12</f>
        <v>11695.916666666666</v>
      </c>
      <c r="V145" s="4">
        <f>140351/12</f>
        <v>11695.916666666666</v>
      </c>
      <c r="W145" s="4">
        <f>144562/12</f>
        <v>12046.833333333334</v>
      </c>
      <c r="X145" s="4">
        <f>144562/12</f>
        <v>12046.833333333334</v>
      </c>
      <c r="Y145" s="4">
        <f>144562/12</f>
        <v>12046.833333333334</v>
      </c>
      <c r="Z145" s="4">
        <f>148898/12</f>
        <v>12408.166666666666</v>
      </c>
      <c r="AA145" s="4">
        <f>148898/12</f>
        <v>12408.166666666666</v>
      </c>
      <c r="AB145" s="4">
        <f>152032/12</f>
        <v>12669.333333333334</v>
      </c>
      <c r="AC145" s="5" t="s">
        <v>301</v>
      </c>
    </row>
    <row r="146" spans="1:29" ht="15.5" x14ac:dyDescent="0.35">
      <c r="A146" s="2" t="s">
        <v>303</v>
      </c>
      <c r="B146" s="1" t="s">
        <v>304</v>
      </c>
      <c r="C146" s="4">
        <f>107977/12</f>
        <v>8998.0833333333339</v>
      </c>
      <c r="D146" s="4">
        <f>111216/12</f>
        <v>9268</v>
      </c>
      <c r="E146" s="4">
        <f>111216/12</f>
        <v>9268</v>
      </c>
      <c r="F146" s="4">
        <f>114553/12</f>
        <v>9546.0833333333339</v>
      </c>
      <c r="G146" s="4">
        <f>114553/12</f>
        <v>9546.0833333333339</v>
      </c>
      <c r="H146" s="4">
        <f>117989/12</f>
        <v>9832.4166666666661</v>
      </c>
      <c r="I146" s="4">
        <f>117989/12</f>
        <v>9832.4166666666661</v>
      </c>
      <c r="J146" s="4">
        <f>121529/12</f>
        <v>10127.416666666666</v>
      </c>
      <c r="K146" s="4">
        <f>121529/12</f>
        <v>10127.416666666666</v>
      </c>
      <c r="L146" s="4">
        <f>121529/12</f>
        <v>10127.416666666666</v>
      </c>
      <c r="M146" s="4">
        <f>132272/12</f>
        <v>11022.666666666666</v>
      </c>
      <c r="N146" s="4">
        <f>132272/12</f>
        <v>11022.666666666666</v>
      </c>
      <c r="O146" s="4">
        <f>136240/12</f>
        <v>11353.333333333334</v>
      </c>
      <c r="P146" s="4">
        <f>136240/12</f>
        <v>11353.333333333334</v>
      </c>
      <c r="Q146" s="4">
        <f>136240/12</f>
        <v>11353.333333333334</v>
      </c>
      <c r="R146" s="4">
        <f>140327/12</f>
        <v>11693.916666666666</v>
      </c>
      <c r="S146" s="4">
        <f>140327/12</f>
        <v>11693.916666666666</v>
      </c>
      <c r="T146" s="4">
        <f>144537/12</f>
        <v>12044.75</v>
      </c>
      <c r="U146" s="4">
        <f>144537/12</f>
        <v>12044.75</v>
      </c>
      <c r="V146" s="4">
        <f>144537/12</f>
        <v>12044.75</v>
      </c>
      <c r="W146" s="4">
        <f>148873/12</f>
        <v>12406.083333333334</v>
      </c>
      <c r="X146" s="4">
        <f>148873/12</f>
        <v>12406.083333333334</v>
      </c>
      <c r="Y146" s="4">
        <f>148873/12</f>
        <v>12406.083333333334</v>
      </c>
      <c r="Z146" s="4">
        <f>153339/12</f>
        <v>12778.25</v>
      </c>
      <c r="AA146" s="4">
        <f>153339/12</f>
        <v>12778.25</v>
      </c>
      <c r="AB146" s="4">
        <f>156567/12</f>
        <v>13047.25</v>
      </c>
      <c r="AC146" s="5" t="s">
        <v>303</v>
      </c>
    </row>
    <row r="147" spans="1:29" ht="15.5" x14ac:dyDescent="0.35">
      <c r="A147" s="2" t="s">
        <v>305</v>
      </c>
      <c r="B147" s="1" t="s">
        <v>306</v>
      </c>
      <c r="C147" s="4">
        <f>107544/12</f>
        <v>8962</v>
      </c>
      <c r="D147" s="4">
        <f>110771/12</f>
        <v>9230.9166666666661</v>
      </c>
      <c r="E147" s="4">
        <f>110771/12</f>
        <v>9230.9166666666661</v>
      </c>
      <c r="F147" s="4">
        <f>114094/12</f>
        <v>9507.8333333333339</v>
      </c>
      <c r="G147" s="4">
        <f>114094/12</f>
        <v>9507.8333333333339</v>
      </c>
      <c r="H147" s="4">
        <f>117517/12</f>
        <v>9793.0833333333339</v>
      </c>
      <c r="I147" s="4">
        <f>117517/12</f>
        <v>9793.0833333333339</v>
      </c>
      <c r="J147" s="4">
        <f>121042/12</f>
        <v>10086.833333333334</v>
      </c>
      <c r="K147" s="4">
        <f>121042/12</f>
        <v>10086.833333333334</v>
      </c>
      <c r="L147" s="4">
        <f>121042/12</f>
        <v>10086.833333333334</v>
      </c>
      <c r="M147" s="4">
        <f>134088/12</f>
        <v>11174</v>
      </c>
      <c r="N147" s="4">
        <f>134088/12</f>
        <v>11174</v>
      </c>
      <c r="O147" s="4">
        <f>138111/12</f>
        <v>11509.25</v>
      </c>
      <c r="P147" s="4">
        <f>138111/12</f>
        <v>11509.25</v>
      </c>
      <c r="Q147" s="4">
        <f>138111/12</f>
        <v>11509.25</v>
      </c>
      <c r="R147" s="4">
        <f>142254/12</f>
        <v>11854.5</v>
      </c>
      <c r="S147" s="4">
        <f>142254/12</f>
        <v>11854.5</v>
      </c>
      <c r="T147" s="4">
        <f>146522/12</f>
        <v>12210.166666666666</v>
      </c>
      <c r="U147" s="4">
        <f>146522/12</f>
        <v>12210.166666666666</v>
      </c>
      <c r="V147" s="4">
        <f>146522/12</f>
        <v>12210.166666666666</v>
      </c>
      <c r="W147" s="4">
        <f>150917/12</f>
        <v>12576.416666666666</v>
      </c>
      <c r="X147" s="4">
        <f>150917/12</f>
        <v>12576.416666666666</v>
      </c>
      <c r="Y147" s="4">
        <f>150917/12</f>
        <v>12576.416666666666</v>
      </c>
      <c r="Z147" s="4">
        <f>155445/12</f>
        <v>12953.75</v>
      </c>
      <c r="AA147" s="4">
        <f>155445/12</f>
        <v>12953.75</v>
      </c>
      <c r="AB147" s="4">
        <f>160632/12</f>
        <v>13386</v>
      </c>
      <c r="AC147" s="5" t="s">
        <v>305</v>
      </c>
    </row>
    <row r="148" spans="1:29" ht="15.5" x14ac:dyDescent="0.35">
      <c r="A148" s="2" t="s">
        <v>307</v>
      </c>
      <c r="B148" s="1" t="s">
        <v>308</v>
      </c>
      <c r="C148" s="4">
        <f>106012/12</f>
        <v>8834.3333333333339</v>
      </c>
      <c r="D148" s="4">
        <f>109192/12</f>
        <v>9099.3333333333339</v>
      </c>
      <c r="E148" s="4">
        <f>109192/12</f>
        <v>9099.3333333333339</v>
      </c>
      <c r="F148" s="4">
        <f>112468/12</f>
        <v>9372.3333333333339</v>
      </c>
      <c r="G148" s="4">
        <f>112468/12</f>
        <v>9372.3333333333339</v>
      </c>
      <c r="H148" s="4">
        <f>115842/12</f>
        <v>9653.5</v>
      </c>
      <c r="I148" s="4">
        <f>115842/12</f>
        <v>9653.5</v>
      </c>
      <c r="J148" s="4">
        <f>119317/12</f>
        <v>9943.0833333333339</v>
      </c>
      <c r="K148" s="4">
        <f>119317/12</f>
        <v>9943.0833333333339</v>
      </c>
      <c r="L148" s="4">
        <f>119317/12</f>
        <v>9943.0833333333339</v>
      </c>
      <c r="M148" s="4">
        <f>129864/12</f>
        <v>10822</v>
      </c>
      <c r="N148" s="4">
        <f>129864/12</f>
        <v>10822</v>
      </c>
      <c r="O148" s="4">
        <f>133760/12</f>
        <v>11146.666666666666</v>
      </c>
      <c r="P148" s="4">
        <f>133760/12</f>
        <v>11146.666666666666</v>
      </c>
      <c r="Q148" s="4">
        <f>133760/12</f>
        <v>11146.666666666666</v>
      </c>
      <c r="R148" s="4">
        <f>137773/12</f>
        <v>11481.083333333334</v>
      </c>
      <c r="S148" s="4">
        <f>137773/12</f>
        <v>11481.083333333334</v>
      </c>
      <c r="T148" s="4">
        <f>141906/12</f>
        <v>11825.5</v>
      </c>
      <c r="U148" s="4">
        <f>141906/12</f>
        <v>11825.5</v>
      </c>
      <c r="V148" s="4">
        <f>141906/12</f>
        <v>11825.5</v>
      </c>
      <c r="W148" s="4">
        <f>146163/12</f>
        <v>12180.25</v>
      </c>
      <c r="X148" s="4">
        <f>146163/12</f>
        <v>12180.25</v>
      </c>
      <c r="Y148" s="4">
        <f>146163/12</f>
        <v>12180.25</v>
      </c>
      <c r="Z148" s="4">
        <f>150548/12</f>
        <v>12545.666666666666</v>
      </c>
      <c r="AA148" s="4">
        <f>150548/12</f>
        <v>12545.666666666666</v>
      </c>
      <c r="AB148" s="4">
        <f>153717/12</f>
        <v>12809.75</v>
      </c>
      <c r="AC148" s="5" t="s">
        <v>307</v>
      </c>
    </row>
    <row r="149" spans="1:29" ht="15.5" x14ac:dyDescent="0.35">
      <c r="A149" s="2" t="s">
        <v>309</v>
      </c>
      <c r="B149" s="1" t="s">
        <v>310</v>
      </c>
      <c r="C149" s="4">
        <f>104850/12</f>
        <v>8737.5</v>
      </c>
      <c r="D149" s="4">
        <f>107995/12</f>
        <v>8999.5833333333339</v>
      </c>
      <c r="E149" s="4">
        <f>107995/12</f>
        <v>8999.5833333333339</v>
      </c>
      <c r="F149" s="4">
        <f>111235/12</f>
        <v>9269.5833333333339</v>
      </c>
      <c r="G149" s="4">
        <f>111235/12</f>
        <v>9269.5833333333339</v>
      </c>
      <c r="H149" s="4">
        <f>114572/12</f>
        <v>9547.6666666666661</v>
      </c>
      <c r="I149" s="4">
        <f>114572/12</f>
        <v>9547.6666666666661</v>
      </c>
      <c r="J149" s="4">
        <f>118009/12</f>
        <v>9834.0833333333339</v>
      </c>
      <c r="K149" s="4">
        <f>118009/12</f>
        <v>9834.0833333333339</v>
      </c>
      <c r="L149" s="4">
        <f>118009/12</f>
        <v>9834.0833333333339</v>
      </c>
      <c r="M149" s="4">
        <f>128441/12</f>
        <v>10703.416666666666</v>
      </c>
      <c r="N149" s="4">
        <f>128441/12</f>
        <v>10703.416666666666</v>
      </c>
      <c r="O149" s="4">
        <f>132294/12</f>
        <v>11024.5</v>
      </c>
      <c r="P149" s="4">
        <f>132294/12</f>
        <v>11024.5</v>
      </c>
      <c r="Q149" s="4">
        <f>132294/12</f>
        <v>11024.5</v>
      </c>
      <c r="R149" s="4">
        <f>136263/12</f>
        <v>11355.25</v>
      </c>
      <c r="S149" s="4">
        <f>136263/12</f>
        <v>11355.25</v>
      </c>
      <c r="T149" s="4">
        <f>140351/12</f>
        <v>11695.916666666666</v>
      </c>
      <c r="U149" s="4">
        <f>140351/12</f>
        <v>11695.916666666666</v>
      </c>
      <c r="V149" s="4">
        <f>140351/12</f>
        <v>11695.916666666666</v>
      </c>
      <c r="W149" s="4">
        <f>144562/12</f>
        <v>12046.833333333334</v>
      </c>
      <c r="X149" s="4">
        <f>144562/12</f>
        <v>12046.833333333334</v>
      </c>
      <c r="Y149" s="4">
        <f>144562/12</f>
        <v>12046.833333333334</v>
      </c>
      <c r="Z149" s="4">
        <f>148898/12</f>
        <v>12408.166666666666</v>
      </c>
      <c r="AA149" s="4">
        <f>148898/12</f>
        <v>12408.166666666666</v>
      </c>
      <c r="AB149" s="4">
        <f>152032/12</f>
        <v>12669.333333333334</v>
      </c>
      <c r="AC149" s="5" t="s">
        <v>309</v>
      </c>
    </row>
    <row r="150" spans="1:29" ht="15.5" x14ac:dyDescent="0.35">
      <c r="A150" s="2" t="s">
        <v>311</v>
      </c>
      <c r="B150" s="1" t="s">
        <v>312</v>
      </c>
      <c r="C150" s="4">
        <f>89536/12</f>
        <v>7461.333333333333</v>
      </c>
      <c r="D150" s="4">
        <f>92222/12</f>
        <v>7685.166666666667</v>
      </c>
      <c r="E150" s="4">
        <f>92222/12</f>
        <v>7685.166666666667</v>
      </c>
      <c r="F150" s="4">
        <f>94989/12</f>
        <v>7915.75</v>
      </c>
      <c r="G150" s="4">
        <f>94989/12</f>
        <v>7915.75</v>
      </c>
      <c r="H150" s="4">
        <f>97838/12</f>
        <v>8153.166666666667</v>
      </c>
      <c r="I150" s="4">
        <f>97838/12</f>
        <v>8153.166666666667</v>
      </c>
      <c r="J150" s="4">
        <f>100773/12</f>
        <v>8397.75</v>
      </c>
      <c r="K150" s="4">
        <f>100773/12</f>
        <v>8397.75</v>
      </c>
      <c r="L150" s="4">
        <f>100773/12</f>
        <v>8397.75</v>
      </c>
      <c r="M150" s="4">
        <f>109681/12</f>
        <v>9140.0833333333339</v>
      </c>
      <c r="N150" s="4">
        <f>109681/12</f>
        <v>9140.0833333333339</v>
      </c>
      <c r="O150" s="4">
        <f>112972/12</f>
        <v>9414.3333333333339</v>
      </c>
      <c r="P150" s="4">
        <f>112972/12</f>
        <v>9414.3333333333339</v>
      </c>
      <c r="Q150" s="4">
        <f>112972/12</f>
        <v>9414.3333333333339</v>
      </c>
      <c r="R150" s="4">
        <f>116361/12</f>
        <v>9696.75</v>
      </c>
      <c r="S150" s="4">
        <f>116361/12</f>
        <v>9696.75</v>
      </c>
      <c r="T150" s="4">
        <f>119852/12</f>
        <v>9987.6666666666661</v>
      </c>
      <c r="U150" s="4">
        <f>119852/12</f>
        <v>9987.6666666666661</v>
      </c>
      <c r="V150" s="4">
        <f>119852/12</f>
        <v>9987.6666666666661</v>
      </c>
      <c r="W150" s="4">
        <f>123447/12</f>
        <v>10287.25</v>
      </c>
      <c r="X150" s="4">
        <f>123447/12</f>
        <v>10287.25</v>
      </c>
      <c r="Y150" s="4">
        <f>123447/12</f>
        <v>10287.25</v>
      </c>
      <c r="Z150" s="4">
        <f>127151/12</f>
        <v>10595.916666666666</v>
      </c>
      <c r="AA150" s="4">
        <f>127151/12</f>
        <v>10595.916666666666</v>
      </c>
      <c r="AB150" s="4">
        <f>129827/12</f>
        <v>10818.916666666666</v>
      </c>
      <c r="AC150" s="5" t="s">
        <v>311</v>
      </c>
    </row>
    <row r="151" spans="1:29" ht="15.5" x14ac:dyDescent="0.35">
      <c r="A151" s="2" t="s">
        <v>313</v>
      </c>
      <c r="B151" s="1" t="s">
        <v>314</v>
      </c>
      <c r="C151" s="4">
        <f>64062/12</f>
        <v>5338.5</v>
      </c>
      <c r="D151" s="4">
        <f>65984/12</f>
        <v>5498.666666666667</v>
      </c>
      <c r="E151" s="4">
        <f>65984/12</f>
        <v>5498.666666666667</v>
      </c>
      <c r="F151" s="4">
        <f>67963/12</f>
        <v>5663.583333333333</v>
      </c>
      <c r="G151" s="4">
        <f>67963/12</f>
        <v>5663.583333333333</v>
      </c>
      <c r="H151" s="4">
        <f>70002/12</f>
        <v>5833.5</v>
      </c>
      <c r="I151" s="4">
        <f>70002/12</f>
        <v>5833.5</v>
      </c>
      <c r="J151" s="4">
        <f>72102/12</f>
        <v>6008.5</v>
      </c>
      <c r="K151" s="4">
        <f>72102/12</f>
        <v>6008.5</v>
      </c>
      <c r="L151" s="4">
        <f>72102/12</f>
        <v>6008.5</v>
      </c>
      <c r="M151" s="4">
        <f>78476/12</f>
        <v>6539.666666666667</v>
      </c>
      <c r="N151" s="4">
        <f>78476/12</f>
        <v>6539.666666666667</v>
      </c>
      <c r="O151" s="4">
        <f>80830/12</f>
        <v>6735.833333333333</v>
      </c>
      <c r="P151" s="4">
        <f>80830/12</f>
        <v>6735.833333333333</v>
      </c>
      <c r="Q151" s="4">
        <f>80830/12</f>
        <v>6735.833333333333</v>
      </c>
      <c r="R151" s="4">
        <f>83255/12</f>
        <v>6937.916666666667</v>
      </c>
      <c r="S151" s="4">
        <f>83255/12</f>
        <v>6937.916666666667</v>
      </c>
      <c r="T151" s="4">
        <f>85753/12</f>
        <v>7146.083333333333</v>
      </c>
      <c r="U151" s="4">
        <f>85753/12</f>
        <v>7146.083333333333</v>
      </c>
      <c r="V151" s="4">
        <f>85753/12</f>
        <v>7146.083333333333</v>
      </c>
      <c r="W151" s="4">
        <f>88325/12</f>
        <v>7360.416666666667</v>
      </c>
      <c r="X151" s="4">
        <f>88325/12</f>
        <v>7360.416666666667</v>
      </c>
      <c r="Y151" s="4">
        <f>88325/12</f>
        <v>7360.416666666667</v>
      </c>
      <c r="Z151" s="4">
        <f>90975/12</f>
        <v>7581.25</v>
      </c>
      <c r="AA151" s="4">
        <f>90975/12</f>
        <v>7581.25</v>
      </c>
      <c r="AB151" s="4">
        <f>92890/12</f>
        <v>7740.833333333333</v>
      </c>
      <c r="AC151" s="5" t="s">
        <v>315</v>
      </c>
    </row>
    <row r="152" spans="1:29" ht="15.5" x14ac:dyDescent="0.35">
      <c r="A152" s="2" t="s">
        <v>316</v>
      </c>
      <c r="B152" s="1" t="s">
        <v>317</v>
      </c>
      <c r="C152" s="4">
        <f>114182/12</f>
        <v>9515.1666666666661</v>
      </c>
      <c r="D152" s="4">
        <f>117607/12</f>
        <v>9800.5833333333339</v>
      </c>
      <c r="E152" s="4">
        <f>117607/12</f>
        <v>9800.5833333333339</v>
      </c>
      <c r="F152" s="4">
        <f>121135/12</f>
        <v>10094.583333333334</v>
      </c>
      <c r="G152" s="4">
        <f>121135/12</f>
        <v>10094.583333333334</v>
      </c>
      <c r="H152" s="4">
        <f>124769/12</f>
        <v>10397.416666666666</v>
      </c>
      <c r="I152" s="4">
        <f>124769/12</f>
        <v>10397.416666666666</v>
      </c>
      <c r="J152" s="4">
        <f>128512/12</f>
        <v>10709.333333333334</v>
      </c>
      <c r="K152" s="4">
        <f>128512/12</f>
        <v>10709.333333333334</v>
      </c>
      <c r="L152" s="4">
        <f>128512/12</f>
        <v>10709.333333333334</v>
      </c>
      <c r="M152" s="4">
        <f>139873/12</f>
        <v>11656.083333333334</v>
      </c>
      <c r="N152" s="4">
        <f>139873/12</f>
        <v>11656.083333333334</v>
      </c>
      <c r="O152" s="4">
        <f>144069/12</f>
        <v>12005.75</v>
      </c>
      <c r="P152" s="4">
        <f>144069/12</f>
        <v>12005.75</v>
      </c>
      <c r="Q152" s="4">
        <f>144069/12</f>
        <v>12005.75</v>
      </c>
      <c r="R152" s="4">
        <f>148391/12</f>
        <v>12365.916666666666</v>
      </c>
      <c r="S152" s="4">
        <f>148391/12</f>
        <v>12365.916666666666</v>
      </c>
      <c r="T152" s="4">
        <f>152843/12</f>
        <v>12736.916666666666</v>
      </c>
      <c r="U152" s="4">
        <f>152843/12</f>
        <v>12736.916666666666</v>
      </c>
      <c r="V152" s="4">
        <f>152843/12</f>
        <v>12736.916666666666</v>
      </c>
      <c r="W152" s="4">
        <f>157428/12</f>
        <v>13119</v>
      </c>
      <c r="X152" s="4">
        <f>157428/12</f>
        <v>13119</v>
      </c>
      <c r="Y152" s="4">
        <f>157428/12</f>
        <v>13119</v>
      </c>
      <c r="Z152" s="4">
        <f>162151/12</f>
        <v>13512.583333333334</v>
      </c>
      <c r="AA152" s="4">
        <f>162151/12</f>
        <v>13512.583333333334</v>
      </c>
      <c r="AB152" s="4">
        <f>165563/12</f>
        <v>13796.916666666666</v>
      </c>
      <c r="AC152" s="5" t="s">
        <v>316</v>
      </c>
    </row>
    <row r="153" spans="1:29" ht="15.5" x14ac:dyDescent="0.35">
      <c r="A153" s="2" t="s">
        <v>318</v>
      </c>
      <c r="B153" s="1" t="s">
        <v>319</v>
      </c>
      <c r="C153" s="4">
        <f>76941/12</f>
        <v>6411.75</v>
      </c>
      <c r="D153" s="4">
        <f>79249/12</f>
        <v>6604.083333333333</v>
      </c>
      <c r="E153" s="4">
        <f>79249/12</f>
        <v>6604.083333333333</v>
      </c>
      <c r="F153" s="4">
        <f>81627/12</f>
        <v>6802.25</v>
      </c>
      <c r="G153" s="4">
        <f>81627/12</f>
        <v>6802.25</v>
      </c>
      <c r="H153" s="4">
        <f>84076/12</f>
        <v>7006.333333333333</v>
      </c>
      <c r="I153" s="4">
        <f>84076/12</f>
        <v>7006.333333333333</v>
      </c>
      <c r="J153" s="4">
        <f>86598/12</f>
        <v>7216.5</v>
      </c>
      <c r="K153" s="4">
        <f>86598/12</f>
        <v>7216.5</v>
      </c>
      <c r="L153" s="4">
        <f>86598/12</f>
        <v>7216.5</v>
      </c>
      <c r="M153" s="4">
        <f>94253/12</f>
        <v>7854.416666666667</v>
      </c>
      <c r="N153" s="4">
        <f>94253/12</f>
        <v>7854.416666666667</v>
      </c>
      <c r="O153" s="4">
        <f>97080/12</f>
        <v>8090</v>
      </c>
      <c r="P153" s="4">
        <f>97080/12</f>
        <v>8090</v>
      </c>
      <c r="Q153" s="4">
        <f>97080/12</f>
        <v>8090</v>
      </c>
      <c r="R153" s="4">
        <f>99993/12</f>
        <v>8332.75</v>
      </c>
      <c r="S153" s="4">
        <f>99993/12</f>
        <v>8332.75</v>
      </c>
      <c r="T153" s="4">
        <f>102992/12</f>
        <v>8582.6666666666661</v>
      </c>
      <c r="U153" s="4">
        <f>102992/12</f>
        <v>8582.6666666666661</v>
      </c>
      <c r="V153" s="4">
        <f>102992/12</f>
        <v>8582.6666666666661</v>
      </c>
      <c r="W153" s="4">
        <f>106082/12</f>
        <v>8840.1666666666661</v>
      </c>
      <c r="X153" s="4">
        <f>106082/12</f>
        <v>8840.1666666666661</v>
      </c>
      <c r="Y153" s="4">
        <f>106082/12</f>
        <v>8840.1666666666661</v>
      </c>
      <c r="Z153" s="4">
        <f>109265/12</f>
        <v>9105.4166666666661</v>
      </c>
      <c r="AA153" s="4">
        <f>109265/12</f>
        <v>9105.4166666666661</v>
      </c>
      <c r="AB153" s="4">
        <f>111564/12</f>
        <v>9297</v>
      </c>
      <c r="AC153" s="5" t="s">
        <v>318</v>
      </c>
    </row>
    <row r="154" spans="1:29" ht="15.5" x14ac:dyDescent="0.35">
      <c r="A154" s="2" t="s">
        <v>320</v>
      </c>
      <c r="B154" s="1" t="s">
        <v>321</v>
      </c>
      <c r="C154" s="4">
        <f>94443/12</f>
        <v>7870.25</v>
      </c>
      <c r="D154" s="4">
        <f>97276/12</f>
        <v>8106.333333333333</v>
      </c>
      <c r="E154" s="4">
        <f>97276/12</f>
        <v>8106.333333333333</v>
      </c>
      <c r="F154" s="4">
        <f>100194/12</f>
        <v>8349.5</v>
      </c>
      <c r="G154" s="4">
        <f>100194/12</f>
        <v>8349.5</v>
      </c>
      <c r="H154" s="4">
        <f>103200/12</f>
        <v>8600</v>
      </c>
      <c r="I154" s="4">
        <f>103200/12</f>
        <v>8600</v>
      </c>
      <c r="J154" s="4">
        <f>106296/12</f>
        <v>8858</v>
      </c>
      <c r="K154" s="4">
        <f>106296/12</f>
        <v>8858</v>
      </c>
      <c r="L154" s="4">
        <f>106296/12</f>
        <v>8858</v>
      </c>
      <c r="M154" s="4">
        <f>115692/12</f>
        <v>9641</v>
      </c>
      <c r="N154" s="4">
        <f>115692/12</f>
        <v>9641</v>
      </c>
      <c r="O154" s="4">
        <f>119163/12</f>
        <v>9930.25</v>
      </c>
      <c r="P154" s="4">
        <f>119163/12</f>
        <v>9930.25</v>
      </c>
      <c r="Q154" s="4">
        <f>119163/12</f>
        <v>9930.25</v>
      </c>
      <c r="R154" s="4">
        <f>122738/12</f>
        <v>10228.166666666666</v>
      </c>
      <c r="S154" s="4">
        <f>122738/12</f>
        <v>10228.166666666666</v>
      </c>
      <c r="T154" s="4">
        <f>126420/12</f>
        <v>10535</v>
      </c>
      <c r="U154" s="4">
        <f>126420/12</f>
        <v>10535</v>
      </c>
      <c r="V154" s="4">
        <f>126420/12</f>
        <v>10535</v>
      </c>
      <c r="W154" s="4">
        <f>130213/12</f>
        <v>10851.083333333334</v>
      </c>
      <c r="X154" s="4">
        <f>130213/12</f>
        <v>10851.083333333334</v>
      </c>
      <c r="Y154" s="4">
        <f>130213/12</f>
        <v>10851.083333333334</v>
      </c>
      <c r="Z154" s="4">
        <f>134119/12</f>
        <v>11176.583333333334</v>
      </c>
      <c r="AA154" s="4">
        <f>134119/12</f>
        <v>11176.583333333334</v>
      </c>
      <c r="AB154" s="4">
        <f>136942/12</f>
        <v>11411.833333333334</v>
      </c>
      <c r="AC154" s="5" t="s">
        <v>320</v>
      </c>
    </row>
    <row r="155" spans="1:29" s="28" customFormat="1" ht="15.5" x14ac:dyDescent="0.35">
      <c r="A155" s="29" t="s">
        <v>537</v>
      </c>
      <c r="B155" s="30" t="s">
        <v>538</v>
      </c>
      <c r="C155" s="31">
        <f>103317/12</f>
        <v>8609.75</v>
      </c>
      <c r="D155" s="31">
        <f>106417/12</f>
        <v>8868.0833333333339</v>
      </c>
      <c r="E155" s="31">
        <f>106417/12</f>
        <v>8868.0833333333339</v>
      </c>
      <c r="F155" s="31">
        <f>109609/12</f>
        <v>9134.0833333333339</v>
      </c>
      <c r="G155" s="31">
        <f>109609/12</f>
        <v>9134.0833333333339</v>
      </c>
      <c r="H155" s="31">
        <f>112897/12</f>
        <v>9408.0833333333339</v>
      </c>
      <c r="I155" s="31">
        <f>112897/12</f>
        <v>9408.0833333333339</v>
      </c>
      <c r="J155" s="31">
        <f>116284/12</f>
        <v>9690.3333333333339</v>
      </c>
      <c r="K155" s="31">
        <f>116284/12</f>
        <v>9690.3333333333339</v>
      </c>
      <c r="L155" s="31">
        <f>116284/12</f>
        <v>9690.3333333333339</v>
      </c>
      <c r="M155" s="31">
        <f>126563/12</f>
        <v>10546.916666666666</v>
      </c>
      <c r="N155" s="31">
        <f>126563/12</f>
        <v>10546.916666666666</v>
      </c>
      <c r="O155" s="31">
        <f>130360/12</f>
        <v>10863.333333333334</v>
      </c>
      <c r="P155" s="31">
        <f>130360/12</f>
        <v>10863.333333333334</v>
      </c>
      <c r="Q155" s="31">
        <f>130360/12</f>
        <v>10863.333333333334</v>
      </c>
      <c r="R155" s="31">
        <f>134271/12</f>
        <v>11189.25</v>
      </c>
      <c r="S155" s="31">
        <f>134271/12</f>
        <v>11189.25</v>
      </c>
      <c r="T155" s="31">
        <f>138299/12</f>
        <v>11524.916666666666</v>
      </c>
      <c r="U155" s="31">
        <f>138299/12</f>
        <v>11524.916666666666</v>
      </c>
      <c r="V155" s="31">
        <f>138299/12</f>
        <v>11524.916666666666</v>
      </c>
      <c r="W155" s="31">
        <f>142448/12</f>
        <v>11870.666666666666</v>
      </c>
      <c r="X155" s="31">
        <f>142448/12</f>
        <v>11870.666666666666</v>
      </c>
      <c r="Y155" s="31">
        <f>142448/12</f>
        <v>11870.666666666666</v>
      </c>
      <c r="Z155" s="31">
        <f>146722/12</f>
        <v>12226.833333333334</v>
      </c>
      <c r="AA155" s="31">
        <f>146722/12</f>
        <v>12226.833333333334</v>
      </c>
      <c r="AB155" s="31">
        <f>149810/12</f>
        <v>12484.166666666666</v>
      </c>
      <c r="AC155" s="32"/>
    </row>
    <row r="156" spans="1:29" ht="15.5" x14ac:dyDescent="0.35">
      <c r="A156" s="2" t="s">
        <v>322</v>
      </c>
      <c r="B156" s="1" t="s">
        <v>323</v>
      </c>
      <c r="C156" s="4">
        <f>37871/12</f>
        <v>3155.9166666666665</v>
      </c>
      <c r="D156" s="4">
        <f>39007/12</f>
        <v>3250.5833333333335</v>
      </c>
      <c r="E156" s="4">
        <f>39007/12</f>
        <v>3250.5833333333335</v>
      </c>
      <c r="F156" s="4">
        <f>40177/12</f>
        <v>3348.0833333333335</v>
      </c>
      <c r="G156" s="4">
        <f>40177/12</f>
        <v>3348.0833333333335</v>
      </c>
      <c r="H156" s="4">
        <f>41383/12</f>
        <v>3448.5833333333335</v>
      </c>
      <c r="I156" s="4">
        <f>41383/12</f>
        <v>3448.5833333333335</v>
      </c>
      <c r="J156" s="4">
        <f>42624/12</f>
        <v>3552</v>
      </c>
      <c r="K156" s="4">
        <f>42624/12</f>
        <v>3552</v>
      </c>
      <c r="L156" s="4">
        <f>42624/12</f>
        <v>3552</v>
      </c>
      <c r="M156" s="4">
        <f>46392/12</f>
        <v>3866</v>
      </c>
      <c r="N156" s="4">
        <f>46392/12</f>
        <v>3866</v>
      </c>
      <c r="O156" s="4">
        <f>47784/12</f>
        <v>3982</v>
      </c>
      <c r="P156" s="4">
        <f>47784/12</f>
        <v>3982</v>
      </c>
      <c r="Q156" s="4">
        <f>47784/12</f>
        <v>3982</v>
      </c>
      <c r="R156" s="4">
        <f>49217/12</f>
        <v>4101.416666666667</v>
      </c>
      <c r="S156" s="4">
        <f>49217/12</f>
        <v>4101.416666666667</v>
      </c>
      <c r="T156" s="4">
        <f>50694/12</f>
        <v>4224.5</v>
      </c>
      <c r="U156" s="4">
        <f>50694/12</f>
        <v>4224.5</v>
      </c>
      <c r="V156" s="4">
        <f>50694/12</f>
        <v>4224.5</v>
      </c>
      <c r="W156" s="4">
        <f>52215/12</f>
        <v>4351.25</v>
      </c>
      <c r="X156" s="4">
        <f>52215/12</f>
        <v>4351.25</v>
      </c>
      <c r="Y156" s="4">
        <f>52215/12</f>
        <v>4351.25</v>
      </c>
      <c r="Z156" s="4">
        <f>53781/12</f>
        <v>4481.75</v>
      </c>
      <c r="AA156" s="4">
        <f>53781/12</f>
        <v>4481.75</v>
      </c>
      <c r="AB156" s="4">
        <f>54913/12</f>
        <v>4576.083333333333</v>
      </c>
      <c r="AC156" s="5" t="s">
        <v>322</v>
      </c>
    </row>
    <row r="157" spans="1:29" ht="15.5" x14ac:dyDescent="0.35">
      <c r="A157" s="2" t="s">
        <v>324</v>
      </c>
      <c r="B157" s="1" t="s">
        <v>325</v>
      </c>
      <c r="C157" s="4">
        <f>121931/12</f>
        <v>10160.916666666666</v>
      </c>
      <c r="D157" s="4">
        <f>125589/12</f>
        <v>10465.75</v>
      </c>
      <c r="E157" s="4">
        <f>125589/12</f>
        <v>10465.75</v>
      </c>
      <c r="F157" s="4">
        <f>129357/12</f>
        <v>10779.75</v>
      </c>
      <c r="G157" s="4">
        <f>129357/12</f>
        <v>10779.75</v>
      </c>
      <c r="H157" s="4">
        <f>133238/12</f>
        <v>11103.166666666666</v>
      </c>
      <c r="I157" s="4">
        <f>133238/12</f>
        <v>11103.166666666666</v>
      </c>
      <c r="J157" s="4">
        <f>137235/12</f>
        <v>11436.25</v>
      </c>
      <c r="K157" s="4">
        <f>137235/12</f>
        <v>11436.25</v>
      </c>
      <c r="L157" s="4">
        <f>137235/12</f>
        <v>11436.25</v>
      </c>
      <c r="M157" s="4">
        <f>149366/12</f>
        <v>12447.166666666666</v>
      </c>
      <c r="N157" s="4">
        <f>149366/12</f>
        <v>12447.166666666666</v>
      </c>
      <c r="O157" s="4">
        <f>153847/12</f>
        <v>12820.583333333334</v>
      </c>
      <c r="P157" s="4">
        <f>153847/12</f>
        <v>12820.583333333334</v>
      </c>
      <c r="Q157" s="4">
        <f>153847/12</f>
        <v>12820.583333333334</v>
      </c>
      <c r="R157" s="4">
        <f>158462/12</f>
        <v>13205.166666666666</v>
      </c>
      <c r="S157" s="4">
        <f>158462/12</f>
        <v>13205.166666666666</v>
      </c>
      <c r="T157" s="4">
        <f>163216/12</f>
        <v>13601.333333333334</v>
      </c>
      <c r="U157" s="4">
        <f>163216/12</f>
        <v>13601.333333333334</v>
      </c>
      <c r="V157" s="4">
        <f>163216/12</f>
        <v>13601.333333333334</v>
      </c>
      <c r="W157" s="4">
        <f>168113/12</f>
        <v>14009.416666666666</v>
      </c>
      <c r="X157" s="4">
        <f>168113/12</f>
        <v>14009.416666666666</v>
      </c>
      <c r="Y157" s="4">
        <f>168113/12</f>
        <v>14009.416666666666</v>
      </c>
      <c r="Z157" s="4">
        <f>173156/12</f>
        <v>14429.666666666666</v>
      </c>
      <c r="AA157" s="4">
        <f>173156/12</f>
        <v>14429.666666666666</v>
      </c>
      <c r="AB157" s="4">
        <f>176801/12</f>
        <v>14733.416666666666</v>
      </c>
      <c r="AC157" s="5" t="s">
        <v>324</v>
      </c>
    </row>
    <row r="158" spans="1:29" ht="15.5" x14ac:dyDescent="0.35">
      <c r="A158" s="2" t="s">
        <v>326</v>
      </c>
      <c r="B158" s="1" t="s">
        <v>327</v>
      </c>
      <c r="C158" s="4">
        <f>103317/12</f>
        <v>8609.75</v>
      </c>
      <c r="D158" s="4">
        <f>106417/12</f>
        <v>8868.0833333333339</v>
      </c>
      <c r="E158" s="4">
        <f>106417/12</f>
        <v>8868.0833333333339</v>
      </c>
      <c r="F158" s="4">
        <f>109609/12</f>
        <v>9134.0833333333339</v>
      </c>
      <c r="G158" s="4">
        <f>109609/12</f>
        <v>9134.0833333333339</v>
      </c>
      <c r="H158" s="4">
        <f>112898/12</f>
        <v>9408.1666666666661</v>
      </c>
      <c r="I158" s="4">
        <f>112898/12</f>
        <v>9408.1666666666661</v>
      </c>
      <c r="J158" s="4">
        <f>116284/12</f>
        <v>9690.3333333333339</v>
      </c>
      <c r="K158" s="4">
        <f>116284/12</f>
        <v>9690.3333333333339</v>
      </c>
      <c r="L158" s="4">
        <f>116284/12</f>
        <v>9690.3333333333339</v>
      </c>
      <c r="M158" s="4">
        <f>126564/12</f>
        <v>10547</v>
      </c>
      <c r="N158" s="4">
        <f>126564/12</f>
        <v>10547</v>
      </c>
      <c r="O158" s="4">
        <f>130361/12</f>
        <v>10863.416666666666</v>
      </c>
      <c r="P158" s="4">
        <f>130361/12</f>
        <v>10863.416666666666</v>
      </c>
      <c r="Q158" s="4">
        <f>130361/12</f>
        <v>10863.416666666666</v>
      </c>
      <c r="R158" s="4">
        <f>134271/12</f>
        <v>11189.25</v>
      </c>
      <c r="S158" s="4">
        <f>134271/12</f>
        <v>11189.25</v>
      </c>
      <c r="T158" s="4">
        <f>138299/12</f>
        <v>11524.916666666666</v>
      </c>
      <c r="U158" s="4">
        <f>138299/12</f>
        <v>11524.916666666666</v>
      </c>
      <c r="V158" s="4">
        <f>138299/12</f>
        <v>11524.916666666666</v>
      </c>
      <c r="W158" s="4">
        <f>142448/12</f>
        <v>11870.666666666666</v>
      </c>
      <c r="X158" s="4">
        <f>142448/12</f>
        <v>11870.666666666666</v>
      </c>
      <c r="Y158" s="4">
        <f>142448/12</f>
        <v>11870.666666666666</v>
      </c>
      <c r="Z158" s="4">
        <f>146722/12</f>
        <v>12226.833333333334</v>
      </c>
      <c r="AA158" s="4">
        <f>146722/12</f>
        <v>12226.833333333334</v>
      </c>
      <c r="AB158" s="4">
        <f>149810/12</f>
        <v>12484.166666666666</v>
      </c>
      <c r="AC158" s="5" t="s">
        <v>326</v>
      </c>
    </row>
    <row r="159" spans="1:29" ht="15.5" x14ac:dyDescent="0.35">
      <c r="A159" s="2" t="s">
        <v>328</v>
      </c>
      <c r="B159" s="1" t="s">
        <v>329</v>
      </c>
      <c r="C159" s="4">
        <f>121931/12</f>
        <v>10160.916666666666</v>
      </c>
      <c r="D159" s="4">
        <f>125589/12</f>
        <v>10465.75</v>
      </c>
      <c r="E159" s="4">
        <f>125589/12</f>
        <v>10465.75</v>
      </c>
      <c r="F159" s="4">
        <f>129357/12</f>
        <v>10779.75</v>
      </c>
      <c r="G159" s="4">
        <f>129357/12</f>
        <v>10779.75</v>
      </c>
      <c r="H159" s="4">
        <f>133238/12</f>
        <v>11103.166666666666</v>
      </c>
      <c r="I159" s="4">
        <f>133238/12</f>
        <v>11103.166666666666</v>
      </c>
      <c r="J159" s="4">
        <f>137235/12</f>
        <v>11436.25</v>
      </c>
      <c r="K159" s="4">
        <f>137235/12</f>
        <v>11436.25</v>
      </c>
      <c r="L159" s="4">
        <f>137235/12</f>
        <v>11436.25</v>
      </c>
      <c r="M159" s="4">
        <f>149366/12</f>
        <v>12447.166666666666</v>
      </c>
      <c r="N159" s="4">
        <f>149366/12</f>
        <v>12447.166666666666</v>
      </c>
      <c r="O159" s="4">
        <f>153847/12</f>
        <v>12820.583333333334</v>
      </c>
      <c r="P159" s="4">
        <f>153847/12</f>
        <v>12820.583333333334</v>
      </c>
      <c r="Q159" s="4">
        <f>153847/12</f>
        <v>12820.583333333334</v>
      </c>
      <c r="R159" s="4">
        <f>158462/12</f>
        <v>13205.166666666666</v>
      </c>
      <c r="S159" s="4">
        <f>158462/12</f>
        <v>13205.166666666666</v>
      </c>
      <c r="T159" s="4">
        <f>163216/12</f>
        <v>13601.333333333334</v>
      </c>
      <c r="U159" s="4">
        <f>163216/12</f>
        <v>13601.333333333334</v>
      </c>
      <c r="V159" s="4">
        <f>163216/12</f>
        <v>13601.333333333334</v>
      </c>
      <c r="W159" s="4">
        <f>168113/12</f>
        <v>14009.416666666666</v>
      </c>
      <c r="X159" s="4">
        <f>168113/12</f>
        <v>14009.416666666666</v>
      </c>
      <c r="Y159" s="4">
        <f>168113/12</f>
        <v>14009.416666666666</v>
      </c>
      <c r="Z159" s="4">
        <f>173156/12</f>
        <v>14429.666666666666</v>
      </c>
      <c r="AA159" s="4">
        <f>173156/12</f>
        <v>14429.666666666666</v>
      </c>
      <c r="AB159" s="4">
        <f>176801/12</f>
        <v>14733.416666666666</v>
      </c>
      <c r="AC159" s="5" t="s">
        <v>328</v>
      </c>
    </row>
    <row r="160" spans="1:29" ht="15.5" x14ac:dyDescent="0.35">
      <c r="A160" s="2" t="s">
        <v>330</v>
      </c>
      <c r="B160" s="1" t="s">
        <v>331</v>
      </c>
      <c r="C160" s="4">
        <f>124762/12</f>
        <v>10396.833333333334</v>
      </c>
      <c r="D160" s="4">
        <f t="shared" ref="D160:E163" si="14">128505/12</f>
        <v>10708.75</v>
      </c>
      <c r="E160" s="4">
        <f t="shared" si="14"/>
        <v>10708.75</v>
      </c>
      <c r="F160" s="4">
        <f t="shared" ref="F160:G163" si="15">132360/12</f>
        <v>11030</v>
      </c>
      <c r="G160" s="4">
        <f t="shared" si="15"/>
        <v>11030</v>
      </c>
      <c r="H160" s="4">
        <f t="shared" ref="H160:I163" si="16">136331/12</f>
        <v>11360.916666666666</v>
      </c>
      <c r="I160" s="4">
        <f t="shared" si="16"/>
        <v>11360.916666666666</v>
      </c>
      <c r="J160" s="4">
        <f t="shared" ref="J160:L163" si="17">140421/12</f>
        <v>11701.75</v>
      </c>
      <c r="K160" s="4">
        <f t="shared" si="17"/>
        <v>11701.75</v>
      </c>
      <c r="L160" s="4">
        <f t="shared" si="17"/>
        <v>11701.75</v>
      </c>
      <c r="M160" s="4">
        <f t="shared" ref="M160:N163" si="18">152833/12</f>
        <v>12736.083333333334</v>
      </c>
      <c r="N160" s="4">
        <f t="shared" si="18"/>
        <v>12736.083333333334</v>
      </c>
      <c r="O160" s="4">
        <f t="shared" ref="O160:Q163" si="19">157418/12</f>
        <v>13118.166666666666</v>
      </c>
      <c r="P160" s="4">
        <f t="shared" si="19"/>
        <v>13118.166666666666</v>
      </c>
      <c r="Q160" s="4">
        <f t="shared" si="19"/>
        <v>13118.166666666666</v>
      </c>
      <c r="R160" s="4">
        <f t="shared" ref="R160:S163" si="20">162141/12</f>
        <v>13511.75</v>
      </c>
      <c r="S160" s="4">
        <f t="shared" si="20"/>
        <v>13511.75</v>
      </c>
      <c r="T160" s="4">
        <f t="shared" ref="T160:V163" si="21">167005/12</f>
        <v>13917.083333333334</v>
      </c>
      <c r="U160" s="4">
        <f t="shared" si="21"/>
        <v>13917.083333333334</v>
      </c>
      <c r="V160" s="4">
        <f t="shared" si="21"/>
        <v>13917.083333333334</v>
      </c>
      <c r="W160" s="4">
        <f t="shared" ref="W160:Y163" si="22">172015/12</f>
        <v>14334.583333333334</v>
      </c>
      <c r="X160" s="4">
        <f t="shared" si="22"/>
        <v>14334.583333333334</v>
      </c>
      <c r="Y160" s="4">
        <f t="shared" si="22"/>
        <v>14334.583333333334</v>
      </c>
      <c r="Z160" s="4">
        <f t="shared" ref="Z160:AA163" si="23">177176/12</f>
        <v>14764.666666666666</v>
      </c>
      <c r="AA160" s="4">
        <f t="shared" si="23"/>
        <v>14764.666666666666</v>
      </c>
      <c r="AB160" s="4">
        <f>180905/12</f>
        <v>15075.416666666666</v>
      </c>
      <c r="AC160" s="5" t="s">
        <v>330</v>
      </c>
    </row>
    <row r="161" spans="1:29" ht="15.5" x14ac:dyDescent="0.35">
      <c r="A161" s="2" t="s">
        <v>332</v>
      </c>
      <c r="B161" s="1" t="s">
        <v>333</v>
      </c>
      <c r="C161" s="4">
        <f>124762/12</f>
        <v>10396.833333333334</v>
      </c>
      <c r="D161" s="4">
        <f t="shared" si="14"/>
        <v>10708.75</v>
      </c>
      <c r="E161" s="4">
        <f t="shared" si="14"/>
        <v>10708.75</v>
      </c>
      <c r="F161" s="4">
        <f t="shared" si="15"/>
        <v>11030</v>
      </c>
      <c r="G161" s="4">
        <f t="shared" si="15"/>
        <v>11030</v>
      </c>
      <c r="H161" s="4">
        <f t="shared" si="16"/>
        <v>11360.916666666666</v>
      </c>
      <c r="I161" s="4">
        <f t="shared" si="16"/>
        <v>11360.916666666666</v>
      </c>
      <c r="J161" s="4">
        <f t="shared" si="17"/>
        <v>11701.75</v>
      </c>
      <c r="K161" s="4">
        <f t="shared" si="17"/>
        <v>11701.75</v>
      </c>
      <c r="L161" s="4">
        <f t="shared" si="17"/>
        <v>11701.75</v>
      </c>
      <c r="M161" s="4">
        <f t="shared" si="18"/>
        <v>12736.083333333334</v>
      </c>
      <c r="N161" s="4">
        <f t="shared" si="18"/>
        <v>12736.083333333334</v>
      </c>
      <c r="O161" s="4">
        <f t="shared" si="19"/>
        <v>13118.166666666666</v>
      </c>
      <c r="P161" s="4">
        <f t="shared" si="19"/>
        <v>13118.166666666666</v>
      </c>
      <c r="Q161" s="4">
        <f t="shared" si="19"/>
        <v>13118.166666666666</v>
      </c>
      <c r="R161" s="4">
        <f t="shared" si="20"/>
        <v>13511.75</v>
      </c>
      <c r="S161" s="4">
        <f t="shared" si="20"/>
        <v>13511.75</v>
      </c>
      <c r="T161" s="4">
        <f t="shared" si="21"/>
        <v>13917.083333333334</v>
      </c>
      <c r="U161" s="4">
        <f t="shared" si="21"/>
        <v>13917.083333333334</v>
      </c>
      <c r="V161" s="4">
        <f t="shared" si="21"/>
        <v>13917.083333333334</v>
      </c>
      <c r="W161" s="4">
        <f t="shared" si="22"/>
        <v>14334.583333333334</v>
      </c>
      <c r="X161" s="4">
        <f t="shared" si="22"/>
        <v>14334.583333333334</v>
      </c>
      <c r="Y161" s="4">
        <f t="shared" si="22"/>
        <v>14334.583333333334</v>
      </c>
      <c r="Z161" s="4">
        <f t="shared" si="23"/>
        <v>14764.666666666666</v>
      </c>
      <c r="AA161" s="4">
        <f t="shared" si="23"/>
        <v>14764.666666666666</v>
      </c>
      <c r="AB161" s="4">
        <f>180905/12</f>
        <v>15075.416666666666</v>
      </c>
      <c r="AC161" s="5" t="s">
        <v>332</v>
      </c>
    </row>
    <row r="162" spans="1:29" ht="15.5" x14ac:dyDescent="0.35">
      <c r="A162" s="2" t="s">
        <v>334</v>
      </c>
      <c r="B162" s="1" t="s">
        <v>335</v>
      </c>
      <c r="C162" s="4">
        <f>124762/12</f>
        <v>10396.833333333334</v>
      </c>
      <c r="D162" s="4">
        <f t="shared" si="14"/>
        <v>10708.75</v>
      </c>
      <c r="E162" s="4">
        <f t="shared" si="14"/>
        <v>10708.75</v>
      </c>
      <c r="F162" s="4">
        <f t="shared" si="15"/>
        <v>11030</v>
      </c>
      <c r="G162" s="4">
        <f t="shared" si="15"/>
        <v>11030</v>
      </c>
      <c r="H162" s="4">
        <f t="shared" si="16"/>
        <v>11360.916666666666</v>
      </c>
      <c r="I162" s="4">
        <f t="shared" si="16"/>
        <v>11360.916666666666</v>
      </c>
      <c r="J162" s="4">
        <f t="shared" si="17"/>
        <v>11701.75</v>
      </c>
      <c r="K162" s="4">
        <f t="shared" si="17"/>
        <v>11701.75</v>
      </c>
      <c r="L162" s="4">
        <f t="shared" si="17"/>
        <v>11701.75</v>
      </c>
      <c r="M162" s="4">
        <f t="shared" si="18"/>
        <v>12736.083333333334</v>
      </c>
      <c r="N162" s="4">
        <f t="shared" si="18"/>
        <v>12736.083333333334</v>
      </c>
      <c r="O162" s="4">
        <f t="shared" si="19"/>
        <v>13118.166666666666</v>
      </c>
      <c r="P162" s="4">
        <f t="shared" si="19"/>
        <v>13118.166666666666</v>
      </c>
      <c r="Q162" s="4">
        <f t="shared" si="19"/>
        <v>13118.166666666666</v>
      </c>
      <c r="R162" s="4">
        <f t="shared" si="20"/>
        <v>13511.75</v>
      </c>
      <c r="S162" s="4">
        <f t="shared" si="20"/>
        <v>13511.75</v>
      </c>
      <c r="T162" s="4">
        <f t="shared" si="21"/>
        <v>13917.083333333334</v>
      </c>
      <c r="U162" s="4">
        <f t="shared" si="21"/>
        <v>13917.083333333334</v>
      </c>
      <c r="V162" s="4">
        <f t="shared" si="21"/>
        <v>13917.083333333334</v>
      </c>
      <c r="W162" s="4">
        <f t="shared" si="22"/>
        <v>14334.583333333334</v>
      </c>
      <c r="X162" s="4">
        <f t="shared" si="22"/>
        <v>14334.583333333334</v>
      </c>
      <c r="Y162" s="4">
        <f t="shared" si="22"/>
        <v>14334.583333333334</v>
      </c>
      <c r="Z162" s="4">
        <f t="shared" si="23"/>
        <v>14764.666666666666</v>
      </c>
      <c r="AA162" s="4">
        <f t="shared" si="23"/>
        <v>14764.666666666666</v>
      </c>
      <c r="AB162" s="4">
        <f>180905/12</f>
        <v>15075.416666666666</v>
      </c>
      <c r="AC162" s="5" t="s">
        <v>334</v>
      </c>
    </row>
    <row r="163" spans="1:29" ht="15.5" x14ac:dyDescent="0.35">
      <c r="A163" s="2" t="s">
        <v>336</v>
      </c>
      <c r="B163" s="1" t="s">
        <v>337</v>
      </c>
      <c r="C163" s="4">
        <f>124762/12</f>
        <v>10396.833333333334</v>
      </c>
      <c r="D163" s="4">
        <f t="shared" si="14"/>
        <v>10708.75</v>
      </c>
      <c r="E163" s="4">
        <f t="shared" si="14"/>
        <v>10708.75</v>
      </c>
      <c r="F163" s="4">
        <f t="shared" si="15"/>
        <v>11030</v>
      </c>
      <c r="G163" s="4">
        <f t="shared" si="15"/>
        <v>11030</v>
      </c>
      <c r="H163" s="4">
        <f t="shared" si="16"/>
        <v>11360.916666666666</v>
      </c>
      <c r="I163" s="4">
        <f t="shared" si="16"/>
        <v>11360.916666666666</v>
      </c>
      <c r="J163" s="4">
        <f t="shared" si="17"/>
        <v>11701.75</v>
      </c>
      <c r="K163" s="4">
        <f t="shared" si="17"/>
        <v>11701.75</v>
      </c>
      <c r="L163" s="4">
        <f t="shared" si="17"/>
        <v>11701.75</v>
      </c>
      <c r="M163" s="4">
        <f t="shared" si="18"/>
        <v>12736.083333333334</v>
      </c>
      <c r="N163" s="4">
        <f t="shared" si="18"/>
        <v>12736.083333333334</v>
      </c>
      <c r="O163" s="4">
        <f t="shared" si="19"/>
        <v>13118.166666666666</v>
      </c>
      <c r="P163" s="4">
        <f t="shared" si="19"/>
        <v>13118.166666666666</v>
      </c>
      <c r="Q163" s="4">
        <f t="shared" si="19"/>
        <v>13118.166666666666</v>
      </c>
      <c r="R163" s="4">
        <f t="shared" si="20"/>
        <v>13511.75</v>
      </c>
      <c r="S163" s="4">
        <f t="shared" si="20"/>
        <v>13511.75</v>
      </c>
      <c r="T163" s="4">
        <f t="shared" si="21"/>
        <v>13917.083333333334</v>
      </c>
      <c r="U163" s="4">
        <f t="shared" si="21"/>
        <v>13917.083333333334</v>
      </c>
      <c r="V163" s="4">
        <f t="shared" si="21"/>
        <v>13917.083333333334</v>
      </c>
      <c r="W163" s="4">
        <f t="shared" si="22"/>
        <v>14334.583333333334</v>
      </c>
      <c r="X163" s="4">
        <f t="shared" si="22"/>
        <v>14334.583333333334</v>
      </c>
      <c r="Y163" s="4">
        <f t="shared" si="22"/>
        <v>14334.583333333334</v>
      </c>
      <c r="Z163" s="4">
        <f t="shared" si="23"/>
        <v>14764.666666666666</v>
      </c>
      <c r="AA163" s="4">
        <f t="shared" si="23"/>
        <v>14764.666666666666</v>
      </c>
      <c r="AB163" s="4">
        <f>180905/12</f>
        <v>15075.416666666666</v>
      </c>
      <c r="AC163" s="5" t="s">
        <v>336</v>
      </c>
    </row>
    <row r="164" spans="1:29" ht="15.5" x14ac:dyDescent="0.35">
      <c r="A164" s="2" t="s">
        <v>338</v>
      </c>
      <c r="B164" s="1" t="s">
        <v>339</v>
      </c>
      <c r="C164" s="4">
        <f>121931/12</f>
        <v>10160.916666666666</v>
      </c>
      <c r="D164" s="4">
        <f>125589/12</f>
        <v>10465.75</v>
      </c>
      <c r="E164" s="4">
        <f>125589/12</f>
        <v>10465.75</v>
      </c>
      <c r="F164" s="4">
        <f>129357/12</f>
        <v>10779.75</v>
      </c>
      <c r="G164" s="4">
        <f>129357/12</f>
        <v>10779.75</v>
      </c>
      <c r="H164" s="4">
        <f>133238/12</f>
        <v>11103.166666666666</v>
      </c>
      <c r="I164" s="4">
        <f>133238/12</f>
        <v>11103.166666666666</v>
      </c>
      <c r="J164" s="4">
        <f>137235/12</f>
        <v>11436.25</v>
      </c>
      <c r="K164" s="4">
        <f>137235/12</f>
        <v>11436.25</v>
      </c>
      <c r="L164" s="4">
        <f>137235/12</f>
        <v>11436.25</v>
      </c>
      <c r="M164" s="4">
        <f>149366/12</f>
        <v>12447.166666666666</v>
      </c>
      <c r="N164" s="4">
        <f>149366/12</f>
        <v>12447.166666666666</v>
      </c>
      <c r="O164" s="4">
        <f>153847/12</f>
        <v>12820.583333333334</v>
      </c>
      <c r="P164" s="4">
        <f>153847/12</f>
        <v>12820.583333333334</v>
      </c>
      <c r="Q164" s="4">
        <f>153847/12</f>
        <v>12820.583333333334</v>
      </c>
      <c r="R164" s="4">
        <f>158462/12</f>
        <v>13205.166666666666</v>
      </c>
      <c r="S164" s="4">
        <f>158462/12</f>
        <v>13205.166666666666</v>
      </c>
      <c r="T164" s="4">
        <f>163216/12</f>
        <v>13601.333333333334</v>
      </c>
      <c r="U164" s="4">
        <f>163216/12</f>
        <v>13601.333333333334</v>
      </c>
      <c r="V164" s="4">
        <f>163216/12</f>
        <v>13601.333333333334</v>
      </c>
      <c r="W164" s="4">
        <f>168113/12</f>
        <v>14009.416666666666</v>
      </c>
      <c r="X164" s="4">
        <f>168113/12</f>
        <v>14009.416666666666</v>
      </c>
      <c r="Y164" s="4">
        <f>168113/12</f>
        <v>14009.416666666666</v>
      </c>
      <c r="Z164" s="4">
        <f>173156/12</f>
        <v>14429.666666666666</v>
      </c>
      <c r="AA164" s="4">
        <f>173156/12</f>
        <v>14429.666666666666</v>
      </c>
      <c r="AB164" s="4">
        <f>176801/12</f>
        <v>14733.416666666666</v>
      </c>
      <c r="AC164" s="5" t="s">
        <v>338</v>
      </c>
    </row>
    <row r="165" spans="1:29" ht="15.5" x14ac:dyDescent="0.35">
      <c r="A165" s="2" t="s">
        <v>340</v>
      </c>
      <c r="B165" s="1" t="s">
        <v>341</v>
      </c>
      <c r="C165" s="4">
        <f>73276/12</f>
        <v>6106.333333333333</v>
      </c>
      <c r="D165" s="4">
        <f>75474/12</f>
        <v>6289.5</v>
      </c>
      <c r="E165" s="4">
        <f>75474/12</f>
        <v>6289.5</v>
      </c>
      <c r="F165" s="4">
        <f>77738/12</f>
        <v>6478.166666666667</v>
      </c>
      <c r="G165" s="4">
        <f>77738/12</f>
        <v>6478.166666666667</v>
      </c>
      <c r="H165" s="4">
        <f>80070/12</f>
        <v>6672.5</v>
      </c>
      <c r="I165" s="4">
        <f>80070/12</f>
        <v>6672.5</v>
      </c>
      <c r="J165" s="4">
        <f>82473/12</f>
        <v>6872.75</v>
      </c>
      <c r="K165" s="4">
        <f>82473/12</f>
        <v>6872.75</v>
      </c>
      <c r="L165" s="4">
        <f>82473/12</f>
        <v>6872.75</v>
      </c>
      <c r="M165" s="4">
        <f>89763/12</f>
        <v>7480.25</v>
      </c>
      <c r="N165" s="4">
        <f>89763/12</f>
        <v>7480.25</v>
      </c>
      <c r="O165" s="4">
        <f>92456/12</f>
        <v>7704.666666666667</v>
      </c>
      <c r="P165" s="4">
        <f>92456/12</f>
        <v>7704.666666666667</v>
      </c>
      <c r="Q165" s="4">
        <f>92456/12</f>
        <v>7704.666666666667</v>
      </c>
      <c r="R165" s="4">
        <f>95229/12</f>
        <v>7935.75</v>
      </c>
      <c r="S165" s="4">
        <f>95229/12</f>
        <v>7935.75</v>
      </c>
      <c r="T165" s="4">
        <f>98086/12</f>
        <v>8173.833333333333</v>
      </c>
      <c r="U165" s="4">
        <f>98086/12</f>
        <v>8173.833333333333</v>
      </c>
      <c r="V165" s="4">
        <f>98086/12</f>
        <v>8173.833333333333</v>
      </c>
      <c r="W165" s="4">
        <f>101029/12</f>
        <v>8419.0833333333339</v>
      </c>
      <c r="X165" s="4">
        <f>101029/12</f>
        <v>8419.0833333333339</v>
      </c>
      <c r="Y165" s="4">
        <f>101029/12</f>
        <v>8419.0833333333339</v>
      </c>
      <c r="Z165" s="4">
        <f>104060/12</f>
        <v>8671.6666666666661</v>
      </c>
      <c r="AA165" s="4">
        <f>104060/12</f>
        <v>8671.6666666666661</v>
      </c>
      <c r="AB165" s="4">
        <f>106250/12</f>
        <v>8854.1666666666661</v>
      </c>
      <c r="AC165" s="5" t="s">
        <v>340</v>
      </c>
    </row>
    <row r="166" spans="1:29" ht="15.5" x14ac:dyDescent="0.35">
      <c r="A166" s="2" t="s">
        <v>342</v>
      </c>
      <c r="B166" s="1" t="s">
        <v>343</v>
      </c>
      <c r="C166" s="4">
        <f>76956/12</f>
        <v>6413</v>
      </c>
      <c r="D166" s="4">
        <f>79265/12</f>
        <v>6605.416666666667</v>
      </c>
      <c r="E166" s="4">
        <f>79265/12</f>
        <v>6605.416666666667</v>
      </c>
      <c r="F166" s="4">
        <f>81643/12</f>
        <v>6803.583333333333</v>
      </c>
      <c r="G166" s="4">
        <f>81643/12</f>
        <v>6803.583333333333</v>
      </c>
      <c r="H166" s="4">
        <f>84092/12</f>
        <v>7007.666666666667</v>
      </c>
      <c r="I166" s="4">
        <f>84092/12</f>
        <v>7007.666666666667</v>
      </c>
      <c r="J166" s="4">
        <f>86615/12</f>
        <v>7217.916666666667</v>
      </c>
      <c r="K166" s="4">
        <f>86615/12</f>
        <v>7217.916666666667</v>
      </c>
      <c r="L166" s="4">
        <f>86615/12</f>
        <v>7217.916666666667</v>
      </c>
      <c r="M166" s="4">
        <f>94272/12</f>
        <v>7856</v>
      </c>
      <c r="N166" s="4">
        <f>94272/12</f>
        <v>7856</v>
      </c>
      <c r="O166" s="4">
        <f>97100/12</f>
        <v>8091.666666666667</v>
      </c>
      <c r="P166" s="4">
        <f>97100/12</f>
        <v>8091.666666666667</v>
      </c>
      <c r="Q166" s="4">
        <f>97100/12</f>
        <v>8091.666666666667</v>
      </c>
      <c r="R166" s="4">
        <f>100013/12</f>
        <v>8334.4166666666661</v>
      </c>
      <c r="S166" s="4">
        <f>100013/12</f>
        <v>8334.4166666666661</v>
      </c>
      <c r="T166" s="4">
        <f>103013/12</f>
        <v>8584.4166666666661</v>
      </c>
      <c r="U166" s="4">
        <f>103013/12</f>
        <v>8584.4166666666661</v>
      </c>
      <c r="V166" s="4">
        <f>103013/12</f>
        <v>8584.4166666666661</v>
      </c>
      <c r="W166" s="4">
        <f>106104/12</f>
        <v>8842</v>
      </c>
      <c r="X166" s="4">
        <f>106104/12</f>
        <v>8842</v>
      </c>
      <c r="Y166" s="4">
        <f>106104/12</f>
        <v>8842</v>
      </c>
      <c r="Z166" s="4">
        <f>109287/12</f>
        <v>9107.25</v>
      </c>
      <c r="AA166" s="4">
        <f>109287/12</f>
        <v>9107.25</v>
      </c>
      <c r="AB166" s="4">
        <f>111587/12</f>
        <v>9298.9166666666661</v>
      </c>
      <c r="AC166" s="5" t="s">
        <v>342</v>
      </c>
    </row>
    <row r="167" spans="1:29" ht="15.5" x14ac:dyDescent="0.35">
      <c r="A167" s="2" t="s">
        <v>344</v>
      </c>
      <c r="B167" s="1" t="s">
        <v>345</v>
      </c>
      <c r="C167" s="4">
        <f>69809/12</f>
        <v>5817.416666666667</v>
      </c>
      <c r="D167" s="4">
        <f>71904/12</f>
        <v>5992</v>
      </c>
      <c r="E167" s="4">
        <f>71904/12</f>
        <v>5992</v>
      </c>
      <c r="F167" s="4">
        <f>74061/12</f>
        <v>6171.75</v>
      </c>
      <c r="G167" s="4">
        <f>74061/12</f>
        <v>6171.75</v>
      </c>
      <c r="H167" s="4">
        <f>76282/12</f>
        <v>6356.833333333333</v>
      </c>
      <c r="I167" s="4">
        <f>76282/12</f>
        <v>6356.833333333333</v>
      </c>
      <c r="J167" s="4">
        <f>78571/12</f>
        <v>6547.583333333333</v>
      </c>
      <c r="K167" s="4">
        <f>78571/12</f>
        <v>6547.583333333333</v>
      </c>
      <c r="L167" s="4">
        <f>78571/12</f>
        <v>6547.583333333333</v>
      </c>
      <c r="M167" s="4">
        <f>85516/12</f>
        <v>7126.333333333333</v>
      </c>
      <c r="N167" s="4">
        <f>85516/12</f>
        <v>7126.333333333333</v>
      </c>
      <c r="O167" s="4">
        <f>88082/12</f>
        <v>7340.166666666667</v>
      </c>
      <c r="P167" s="4">
        <f>88082/12</f>
        <v>7340.166666666667</v>
      </c>
      <c r="Q167" s="4">
        <f>88082/12</f>
        <v>7340.166666666667</v>
      </c>
      <c r="R167" s="4">
        <f>90724/12</f>
        <v>7560.333333333333</v>
      </c>
      <c r="S167" s="4">
        <f>90724/12</f>
        <v>7560.333333333333</v>
      </c>
      <c r="T167" s="4">
        <f>93446/12</f>
        <v>7787.166666666667</v>
      </c>
      <c r="U167" s="4">
        <f>93446/12</f>
        <v>7787.166666666667</v>
      </c>
      <c r="V167" s="4">
        <f>93446/12</f>
        <v>7787.166666666667</v>
      </c>
      <c r="W167" s="4">
        <f>96249/12</f>
        <v>8020.75</v>
      </c>
      <c r="X167" s="4">
        <f>96249/12</f>
        <v>8020.75</v>
      </c>
      <c r="Y167" s="4">
        <f>96249/12</f>
        <v>8020.75</v>
      </c>
      <c r="Z167" s="4">
        <f>99137/12</f>
        <v>8261.4166666666661</v>
      </c>
      <c r="AA167" s="4">
        <f>99137/12</f>
        <v>8261.4166666666661</v>
      </c>
      <c r="AB167" s="4">
        <f>101223/12</f>
        <v>8435.25</v>
      </c>
      <c r="AC167" s="5" t="s">
        <v>344</v>
      </c>
    </row>
    <row r="168" spans="1:29" ht="15.5" x14ac:dyDescent="0.35">
      <c r="A168" s="2" t="s">
        <v>346</v>
      </c>
      <c r="B168" s="1" t="s">
        <v>347</v>
      </c>
      <c r="C168" s="4">
        <f>73282/12</f>
        <v>6106.833333333333</v>
      </c>
      <c r="D168" s="4">
        <f>75481/12</f>
        <v>6290.083333333333</v>
      </c>
      <c r="E168" s="4">
        <f>75481/12</f>
        <v>6290.083333333333</v>
      </c>
      <c r="F168" s="4">
        <f>77745/12</f>
        <v>6478.75</v>
      </c>
      <c r="G168" s="4">
        <f>77745/12</f>
        <v>6478.75</v>
      </c>
      <c r="H168" s="4">
        <f>80078/12</f>
        <v>6673.166666666667</v>
      </c>
      <c r="I168" s="4">
        <f>80078/12</f>
        <v>6673.166666666667</v>
      </c>
      <c r="J168" s="4">
        <f>82480/12</f>
        <v>6873.333333333333</v>
      </c>
      <c r="K168" s="4">
        <f>82480/12</f>
        <v>6873.333333333333</v>
      </c>
      <c r="L168" s="4">
        <f>82480/12</f>
        <v>6873.333333333333</v>
      </c>
      <c r="M168" s="4">
        <f>89771/12</f>
        <v>7480.916666666667</v>
      </c>
      <c r="N168" s="4">
        <f>89771/12</f>
        <v>7480.916666666667</v>
      </c>
      <c r="O168" s="4">
        <f>92464/12</f>
        <v>7705.333333333333</v>
      </c>
      <c r="P168" s="4">
        <f>92464/12</f>
        <v>7705.333333333333</v>
      </c>
      <c r="Q168" s="4">
        <f>92464/12</f>
        <v>7705.333333333333</v>
      </c>
      <c r="R168" s="4">
        <f>95238/12</f>
        <v>7936.5</v>
      </c>
      <c r="S168" s="4">
        <f>95238/12</f>
        <v>7936.5</v>
      </c>
      <c r="T168" s="4">
        <f>98095/12</f>
        <v>8174.583333333333</v>
      </c>
      <c r="U168" s="4">
        <f>98095/12</f>
        <v>8174.583333333333</v>
      </c>
      <c r="V168" s="4">
        <f>98095/12</f>
        <v>8174.583333333333</v>
      </c>
      <c r="W168" s="4">
        <f>101038/12</f>
        <v>8419.8333333333339</v>
      </c>
      <c r="X168" s="4">
        <f>101038/12</f>
        <v>8419.8333333333339</v>
      </c>
      <c r="Y168" s="4">
        <f>101038/12</f>
        <v>8419.8333333333339</v>
      </c>
      <c r="Z168" s="4">
        <f>104069/12</f>
        <v>8672.4166666666661</v>
      </c>
      <c r="AA168" s="4">
        <f>104069/12</f>
        <v>8672.4166666666661</v>
      </c>
      <c r="AB168" s="4">
        <f>106260/12</f>
        <v>8855</v>
      </c>
      <c r="AC168" s="5" t="s">
        <v>348</v>
      </c>
    </row>
    <row r="169" spans="1:29" ht="15.5" x14ac:dyDescent="0.35">
      <c r="A169" s="2" t="s">
        <v>349</v>
      </c>
      <c r="B169" s="1" t="s">
        <v>350</v>
      </c>
      <c r="C169" s="4">
        <f>76978/12</f>
        <v>6414.833333333333</v>
      </c>
      <c r="D169" s="4">
        <f>79287/12</f>
        <v>6607.25</v>
      </c>
      <c r="E169" s="4">
        <f>79287/12</f>
        <v>6607.25</v>
      </c>
      <c r="F169" s="4">
        <f>81666/12</f>
        <v>6805.5</v>
      </c>
      <c r="G169" s="4">
        <f>81666/12</f>
        <v>6805.5</v>
      </c>
      <c r="H169" s="4">
        <f>84116/12</f>
        <v>7009.666666666667</v>
      </c>
      <c r="I169" s="4">
        <f>84116/12</f>
        <v>7009.666666666667</v>
      </c>
      <c r="J169" s="4">
        <f>86640/12</f>
        <v>7220</v>
      </c>
      <c r="K169" s="4">
        <f>86640/12</f>
        <v>7220</v>
      </c>
      <c r="L169" s="4">
        <f>86640/12</f>
        <v>7220</v>
      </c>
      <c r="M169" s="4">
        <f>94298/12</f>
        <v>7858.166666666667</v>
      </c>
      <c r="N169" s="4">
        <f>94298/12</f>
        <v>7858.166666666667</v>
      </c>
      <c r="O169" s="4">
        <f>97127/12</f>
        <v>8093.916666666667</v>
      </c>
      <c r="P169" s="4">
        <f>97127/12</f>
        <v>8093.916666666667</v>
      </c>
      <c r="Q169" s="4">
        <f>97127/12</f>
        <v>8093.916666666667</v>
      </c>
      <c r="R169" s="4">
        <f>100041/12</f>
        <v>8336.75</v>
      </c>
      <c r="S169" s="4">
        <f>100041/12</f>
        <v>8336.75</v>
      </c>
      <c r="T169" s="4">
        <f>103042/12</f>
        <v>8586.8333333333339</v>
      </c>
      <c r="U169" s="4">
        <f>103042/12</f>
        <v>8586.8333333333339</v>
      </c>
      <c r="V169" s="4">
        <f>103042/12</f>
        <v>8586.8333333333339</v>
      </c>
      <c r="W169" s="4">
        <f>106133/12</f>
        <v>8844.4166666666661</v>
      </c>
      <c r="X169" s="4">
        <f>106133/12</f>
        <v>8844.4166666666661</v>
      </c>
      <c r="Y169" s="4">
        <f>106133/12</f>
        <v>8844.4166666666661</v>
      </c>
      <c r="Z169" s="4">
        <f>109317/12</f>
        <v>9109.75</v>
      </c>
      <c r="AA169" s="4">
        <f>109317/12</f>
        <v>9109.75</v>
      </c>
      <c r="AB169" s="4">
        <f>111618/12</f>
        <v>9301.5</v>
      </c>
      <c r="AC169" s="5" t="s">
        <v>351</v>
      </c>
    </row>
    <row r="170" spans="1:29" ht="15.5" x14ac:dyDescent="0.35">
      <c r="A170" s="2" t="s">
        <v>352</v>
      </c>
      <c r="B170" s="1" t="s">
        <v>353</v>
      </c>
      <c r="C170" s="4">
        <f>73604/12</f>
        <v>6133.666666666667</v>
      </c>
      <c r="D170" s="4">
        <f>75812/12</f>
        <v>6317.666666666667</v>
      </c>
      <c r="E170" s="4">
        <f>75812/12</f>
        <v>6317.666666666667</v>
      </c>
      <c r="F170" s="4">
        <f>78086/12</f>
        <v>6507.166666666667</v>
      </c>
      <c r="G170" s="4">
        <f>78086/12</f>
        <v>6507.166666666667</v>
      </c>
      <c r="H170" s="4">
        <f>80429/12</f>
        <v>6702.416666666667</v>
      </c>
      <c r="I170" s="4">
        <f>80429/12</f>
        <v>6702.416666666667</v>
      </c>
      <c r="J170" s="4">
        <f>82842/12</f>
        <v>6903.5</v>
      </c>
      <c r="K170" s="4">
        <f>82842/12</f>
        <v>6903.5</v>
      </c>
      <c r="L170" s="4">
        <f>82842/12</f>
        <v>6903.5</v>
      </c>
      <c r="M170" s="4">
        <f>90165/12</f>
        <v>7513.75</v>
      </c>
      <c r="N170" s="4">
        <f>90165/12</f>
        <v>7513.75</v>
      </c>
      <c r="O170" s="4">
        <f>92870/12</f>
        <v>7739.166666666667</v>
      </c>
      <c r="P170" s="4">
        <f>92870/12</f>
        <v>7739.166666666667</v>
      </c>
      <c r="Q170" s="4">
        <f>92870/12</f>
        <v>7739.166666666667</v>
      </c>
      <c r="R170" s="4">
        <f>95656/12</f>
        <v>7971.333333333333</v>
      </c>
      <c r="S170" s="4">
        <f>95656/12</f>
        <v>7971.333333333333</v>
      </c>
      <c r="T170" s="4">
        <f>98525/12</f>
        <v>8210.4166666666661</v>
      </c>
      <c r="U170" s="4">
        <f>98525/12</f>
        <v>8210.4166666666661</v>
      </c>
      <c r="V170" s="4">
        <f>98525/12</f>
        <v>8210.4166666666661</v>
      </c>
      <c r="W170" s="4">
        <f>101481/12</f>
        <v>8456.75</v>
      </c>
      <c r="X170" s="4">
        <f>101481/12</f>
        <v>8456.75</v>
      </c>
      <c r="Y170" s="4">
        <f>101481/12</f>
        <v>8456.75</v>
      </c>
      <c r="Z170" s="4">
        <f>104526/12</f>
        <v>8710.5</v>
      </c>
      <c r="AA170" s="4">
        <f>104526/12</f>
        <v>8710.5</v>
      </c>
      <c r="AB170" s="4">
        <f>106726/12</f>
        <v>8893.8333333333339</v>
      </c>
      <c r="AC170" s="5" t="s">
        <v>352</v>
      </c>
    </row>
    <row r="171" spans="1:29" ht="15.5" x14ac:dyDescent="0.35">
      <c r="A171" s="2" t="s">
        <v>354</v>
      </c>
      <c r="B171" s="1" t="s">
        <v>355</v>
      </c>
      <c r="C171" s="4">
        <f>72318/12</f>
        <v>6026.5</v>
      </c>
      <c r="D171" s="4">
        <f>74488/12</f>
        <v>6207.333333333333</v>
      </c>
      <c r="E171" s="4">
        <f>74488/12</f>
        <v>6207.333333333333</v>
      </c>
      <c r="F171" s="4">
        <f>76723/12</f>
        <v>6393.583333333333</v>
      </c>
      <c r="G171" s="4">
        <f>76723/12</f>
        <v>6393.583333333333</v>
      </c>
      <c r="H171" s="4">
        <f>79024/12</f>
        <v>6585.333333333333</v>
      </c>
      <c r="I171" s="4">
        <f>79024/12</f>
        <v>6585.333333333333</v>
      </c>
      <c r="J171" s="4">
        <f>81395/12</f>
        <v>6782.916666666667</v>
      </c>
      <c r="K171" s="4">
        <f>81395/12</f>
        <v>6782.916666666667</v>
      </c>
      <c r="L171" s="4">
        <f>81395/12</f>
        <v>6782.916666666667</v>
      </c>
      <c r="M171" s="4">
        <f>88590/12</f>
        <v>7382.5</v>
      </c>
      <c r="N171" s="4">
        <f>88590/12</f>
        <v>7382.5</v>
      </c>
      <c r="O171" s="4">
        <f>91248/12</f>
        <v>7604</v>
      </c>
      <c r="P171" s="4">
        <f>91248/12</f>
        <v>7604</v>
      </c>
      <c r="Q171" s="4">
        <f>91248/12</f>
        <v>7604</v>
      </c>
      <c r="R171" s="4">
        <f>93985/12</f>
        <v>7832.083333333333</v>
      </c>
      <c r="S171" s="4">
        <f>93985/12</f>
        <v>7832.083333333333</v>
      </c>
      <c r="T171" s="4">
        <f>96805/12</f>
        <v>8067.083333333333</v>
      </c>
      <c r="U171" s="4">
        <f>96805/12</f>
        <v>8067.083333333333</v>
      </c>
      <c r="V171" s="4">
        <f>96805/12</f>
        <v>8067.083333333333</v>
      </c>
      <c r="W171" s="4">
        <f>99709/12</f>
        <v>8309.0833333333339</v>
      </c>
      <c r="X171" s="4">
        <f>99709/12</f>
        <v>8309.0833333333339</v>
      </c>
      <c r="Y171" s="4">
        <f>99709/12</f>
        <v>8309.0833333333339</v>
      </c>
      <c r="Z171" s="4">
        <f>102700/12</f>
        <v>8558.3333333333339</v>
      </c>
      <c r="AA171" s="4">
        <f>102700/12</f>
        <v>8558.3333333333339</v>
      </c>
      <c r="AB171" s="4">
        <f>104862/12</f>
        <v>8738.5</v>
      </c>
      <c r="AC171" s="5" t="s">
        <v>354</v>
      </c>
    </row>
    <row r="172" spans="1:29" ht="15.5" x14ac:dyDescent="0.35">
      <c r="A172" s="2" t="s">
        <v>356</v>
      </c>
      <c r="B172" s="1" t="s">
        <v>357</v>
      </c>
      <c r="C172" s="4">
        <f>84629/12</f>
        <v>7052.416666666667</v>
      </c>
      <c r="D172" s="4">
        <f>87168/12</f>
        <v>7264</v>
      </c>
      <c r="E172" s="4">
        <f>87168/12</f>
        <v>7264</v>
      </c>
      <c r="F172" s="4">
        <f>89783/12</f>
        <v>7481.916666666667</v>
      </c>
      <c r="G172" s="4">
        <f>89783/12</f>
        <v>7481.916666666667</v>
      </c>
      <c r="H172" s="4">
        <f>92476/12</f>
        <v>7706.333333333333</v>
      </c>
      <c r="I172" s="4">
        <f>92476/12</f>
        <v>7706.333333333333</v>
      </c>
      <c r="J172" s="4">
        <f>95251/12</f>
        <v>7937.583333333333</v>
      </c>
      <c r="K172" s="4">
        <f>95251/12</f>
        <v>7937.583333333333</v>
      </c>
      <c r="L172" s="4">
        <f>95251/12</f>
        <v>7937.583333333333</v>
      </c>
      <c r="M172" s="4">
        <f>103670/12</f>
        <v>8639.1666666666661</v>
      </c>
      <c r="N172" s="4">
        <f>103670/12</f>
        <v>8639.1666666666661</v>
      </c>
      <c r="O172" s="4">
        <f>106781/12</f>
        <v>8898.4166666666661</v>
      </c>
      <c r="P172" s="4">
        <f>106781/12</f>
        <v>8898.4166666666661</v>
      </c>
      <c r="Q172" s="4">
        <f>106781/12</f>
        <v>8898.4166666666661</v>
      </c>
      <c r="R172" s="4">
        <f>109984/12</f>
        <v>9165.3333333333339</v>
      </c>
      <c r="S172" s="4">
        <f>109984/12</f>
        <v>9165.3333333333339</v>
      </c>
      <c r="T172" s="4">
        <f>113283/12</f>
        <v>9440.25</v>
      </c>
      <c r="U172" s="4">
        <f>113283/12</f>
        <v>9440.25</v>
      </c>
      <c r="V172" s="4">
        <f>113283/12</f>
        <v>9440.25</v>
      </c>
      <c r="W172" s="4">
        <f>116682/12</f>
        <v>9723.5</v>
      </c>
      <c r="X172" s="4">
        <f>116682/12</f>
        <v>9723.5</v>
      </c>
      <c r="Y172" s="4">
        <f>116682/12</f>
        <v>9723.5</v>
      </c>
      <c r="Z172" s="4">
        <f>120182/12</f>
        <v>10015.166666666666</v>
      </c>
      <c r="AA172" s="4">
        <f>120182/12</f>
        <v>10015.166666666666</v>
      </c>
      <c r="AB172" s="4">
        <f>122712/12</f>
        <v>10226</v>
      </c>
      <c r="AC172" s="5" t="s">
        <v>356</v>
      </c>
    </row>
    <row r="173" spans="1:29" ht="15.5" x14ac:dyDescent="0.35">
      <c r="A173" s="2" t="s">
        <v>358</v>
      </c>
      <c r="B173" s="1" t="s">
        <v>359</v>
      </c>
      <c r="C173" s="4">
        <f>96223/12</f>
        <v>8018.583333333333</v>
      </c>
      <c r="D173" s="4">
        <f>99109/12</f>
        <v>8259.0833333333339</v>
      </c>
      <c r="E173" s="4">
        <f>99109/12</f>
        <v>8259.0833333333339</v>
      </c>
      <c r="F173" s="4">
        <f>102083/12</f>
        <v>8506.9166666666661</v>
      </c>
      <c r="G173" s="4">
        <f>102083/12</f>
        <v>8506.9166666666661</v>
      </c>
      <c r="H173" s="4">
        <f>105145/12</f>
        <v>8762.0833333333339</v>
      </c>
      <c r="I173" s="4">
        <f>105145/12</f>
        <v>8762.0833333333339</v>
      </c>
      <c r="J173" s="4">
        <f>108299/12</f>
        <v>9024.9166666666661</v>
      </c>
      <c r="K173" s="4">
        <f>108299/12</f>
        <v>9024.9166666666661</v>
      </c>
      <c r="L173" s="4">
        <f>108299/12</f>
        <v>9024.9166666666661</v>
      </c>
      <c r="M173" s="4">
        <f>117873/12</f>
        <v>9822.75</v>
      </c>
      <c r="N173" s="4">
        <f>117873/12</f>
        <v>9822.75</v>
      </c>
      <c r="O173" s="4">
        <f>121409/12</f>
        <v>10117.416666666666</v>
      </c>
      <c r="P173" s="4">
        <f>121409/12</f>
        <v>10117.416666666666</v>
      </c>
      <c r="Q173" s="4">
        <f>121409/12</f>
        <v>10117.416666666666</v>
      </c>
      <c r="R173" s="4">
        <f>125051/12</f>
        <v>10420.916666666666</v>
      </c>
      <c r="S173" s="4">
        <f>125051/12</f>
        <v>10420.916666666666</v>
      </c>
      <c r="T173" s="4">
        <f>128803/12</f>
        <v>10733.583333333334</v>
      </c>
      <c r="U173" s="4">
        <f>128803/12</f>
        <v>10733.583333333334</v>
      </c>
      <c r="V173" s="4">
        <f>128803/12</f>
        <v>10733.583333333334</v>
      </c>
      <c r="W173" s="4">
        <f>132667/12</f>
        <v>11055.583333333334</v>
      </c>
      <c r="X173" s="4">
        <f>132667/12</f>
        <v>11055.583333333334</v>
      </c>
      <c r="Y173" s="4">
        <f>132667/12</f>
        <v>11055.583333333334</v>
      </c>
      <c r="Z173" s="4">
        <f>136647/12</f>
        <v>11387.25</v>
      </c>
      <c r="AA173" s="4">
        <f>136647/12</f>
        <v>11387.25</v>
      </c>
      <c r="AB173" s="4">
        <f>139523/12</f>
        <v>11626.916666666666</v>
      </c>
      <c r="AC173" s="5" t="s">
        <v>358</v>
      </c>
    </row>
    <row r="174" spans="1:29" ht="15.5" x14ac:dyDescent="0.35">
      <c r="A174" s="2" t="s">
        <v>360</v>
      </c>
      <c r="B174" s="1" t="s">
        <v>361</v>
      </c>
      <c r="C174" s="4">
        <f>57820/12</f>
        <v>4818.333333333333</v>
      </c>
      <c r="D174" s="4">
        <f>59555/12</f>
        <v>4962.916666666667</v>
      </c>
      <c r="E174" s="4">
        <f>59555/12</f>
        <v>4962.916666666667</v>
      </c>
      <c r="F174" s="4">
        <f>61341/12</f>
        <v>5111.75</v>
      </c>
      <c r="G174" s="4">
        <f>61341/12</f>
        <v>5111.75</v>
      </c>
      <c r="H174" s="4">
        <f>63182/12</f>
        <v>5265.166666666667</v>
      </c>
      <c r="I174" s="4">
        <f>63182/12</f>
        <v>5265.166666666667</v>
      </c>
      <c r="J174" s="4">
        <f>65077/12</f>
        <v>5423.083333333333</v>
      </c>
      <c r="K174" s="4">
        <f>65077/12</f>
        <v>5423.083333333333</v>
      </c>
      <c r="L174" s="4">
        <f>65077/12</f>
        <v>5423.083333333333</v>
      </c>
      <c r="M174" s="4">
        <f>70830/12</f>
        <v>5902.5</v>
      </c>
      <c r="N174" s="4">
        <f>70830/12</f>
        <v>5902.5</v>
      </c>
      <c r="O174" s="4">
        <f>72954/12</f>
        <v>6079.5</v>
      </c>
      <c r="P174" s="4">
        <f>72954/12</f>
        <v>6079.5</v>
      </c>
      <c r="Q174" s="4">
        <f>72954/12</f>
        <v>6079.5</v>
      </c>
      <c r="R174" s="4">
        <f>75143/12</f>
        <v>6261.916666666667</v>
      </c>
      <c r="S174" s="4">
        <f>75143/12</f>
        <v>6261.916666666667</v>
      </c>
      <c r="T174" s="4">
        <f>77397/12</f>
        <v>6449.75</v>
      </c>
      <c r="U174" s="4">
        <f>77397/12</f>
        <v>6449.75</v>
      </c>
      <c r="V174" s="4">
        <f>77397/12</f>
        <v>6449.75</v>
      </c>
      <c r="W174" s="4">
        <f>79719/12</f>
        <v>6643.25</v>
      </c>
      <c r="X174" s="4">
        <f>79719/12</f>
        <v>6643.25</v>
      </c>
      <c r="Y174" s="4">
        <f>79719/12</f>
        <v>6643.25</v>
      </c>
      <c r="Z174" s="4">
        <f>82111/12</f>
        <v>6842.583333333333</v>
      </c>
      <c r="AA174" s="4">
        <f>82111/12</f>
        <v>6842.583333333333</v>
      </c>
      <c r="AB174" s="4">
        <f>83839/12</f>
        <v>6986.583333333333</v>
      </c>
      <c r="AC174" s="5" t="s">
        <v>360</v>
      </c>
    </row>
    <row r="175" spans="1:29" ht="15.5" x14ac:dyDescent="0.35">
      <c r="A175" s="2" t="s">
        <v>362</v>
      </c>
      <c r="B175" s="1" t="s">
        <v>363</v>
      </c>
      <c r="C175" s="4">
        <f>89536/12</f>
        <v>7461.333333333333</v>
      </c>
      <c r="D175" s="4">
        <f>92222/12</f>
        <v>7685.166666666667</v>
      </c>
      <c r="E175" s="4">
        <f>92222/12</f>
        <v>7685.166666666667</v>
      </c>
      <c r="F175" s="4">
        <f>94989/12</f>
        <v>7915.75</v>
      </c>
      <c r="G175" s="4">
        <f>94989/12</f>
        <v>7915.75</v>
      </c>
      <c r="H175" s="4">
        <f>97838/12</f>
        <v>8153.166666666667</v>
      </c>
      <c r="I175" s="4">
        <f>97838/12</f>
        <v>8153.166666666667</v>
      </c>
      <c r="J175" s="4">
        <f>100773/12</f>
        <v>8397.75</v>
      </c>
      <c r="K175" s="4">
        <f>100773/12</f>
        <v>8397.75</v>
      </c>
      <c r="L175" s="4">
        <f>100773/12</f>
        <v>8397.75</v>
      </c>
      <c r="M175" s="4">
        <f>109681/12</f>
        <v>9140.0833333333339</v>
      </c>
      <c r="N175" s="4">
        <f>109681/12</f>
        <v>9140.0833333333339</v>
      </c>
      <c r="O175" s="4">
        <f>112972/12</f>
        <v>9414.3333333333339</v>
      </c>
      <c r="P175" s="4">
        <f>112972/12</f>
        <v>9414.3333333333339</v>
      </c>
      <c r="Q175" s="4">
        <f>112972/12</f>
        <v>9414.3333333333339</v>
      </c>
      <c r="R175" s="4">
        <f>116361/12</f>
        <v>9696.75</v>
      </c>
      <c r="S175" s="4">
        <f>116361/12</f>
        <v>9696.75</v>
      </c>
      <c r="T175" s="4">
        <f>119852/12</f>
        <v>9987.6666666666661</v>
      </c>
      <c r="U175" s="4">
        <f>119852/12</f>
        <v>9987.6666666666661</v>
      </c>
      <c r="V175" s="4">
        <f>119852/12</f>
        <v>9987.6666666666661</v>
      </c>
      <c r="W175" s="4">
        <f>123447/12</f>
        <v>10287.25</v>
      </c>
      <c r="X175" s="4">
        <f>123447/12</f>
        <v>10287.25</v>
      </c>
      <c r="Y175" s="4">
        <f>123447/12</f>
        <v>10287.25</v>
      </c>
      <c r="Z175" s="4">
        <f>127151/12</f>
        <v>10595.916666666666</v>
      </c>
      <c r="AA175" s="4">
        <f>127151/12</f>
        <v>10595.916666666666</v>
      </c>
      <c r="AB175" s="4">
        <f>129827/12</f>
        <v>10818.916666666666</v>
      </c>
      <c r="AC175" s="5" t="s">
        <v>362</v>
      </c>
    </row>
    <row r="176" spans="1:29" ht="15.5" x14ac:dyDescent="0.35">
      <c r="A176" s="2" t="s">
        <v>364</v>
      </c>
      <c r="B176" s="1" t="s">
        <v>365</v>
      </c>
      <c r="C176" s="4">
        <f>57396/12</f>
        <v>4783</v>
      </c>
      <c r="D176" s="4">
        <f>59118/12</f>
        <v>4926.5</v>
      </c>
      <c r="E176" s="4">
        <f>59118/12</f>
        <v>4926.5</v>
      </c>
      <c r="F176" s="4">
        <f>60891/12</f>
        <v>5074.25</v>
      </c>
      <c r="G176" s="4">
        <f>60891/12</f>
        <v>5074.25</v>
      </c>
      <c r="H176" s="4">
        <f>62718/12</f>
        <v>5226.5</v>
      </c>
      <c r="I176" s="4">
        <f>62718/12</f>
        <v>5226.5</v>
      </c>
      <c r="J176" s="4">
        <f>64600/12</f>
        <v>5383.333333333333</v>
      </c>
      <c r="K176" s="4">
        <f>64600/12</f>
        <v>5383.333333333333</v>
      </c>
      <c r="L176" s="4">
        <f>64600/12</f>
        <v>5383.333333333333</v>
      </c>
      <c r="M176" s="4">
        <f>71745/12</f>
        <v>5978.75</v>
      </c>
      <c r="N176" s="4">
        <f>71745/12</f>
        <v>5978.75</v>
      </c>
      <c r="O176" s="4">
        <f>73897/12</f>
        <v>6158.083333333333</v>
      </c>
      <c r="P176" s="4">
        <f>73897/12</f>
        <v>6158.083333333333</v>
      </c>
      <c r="Q176" s="4">
        <f>73897/12</f>
        <v>6158.083333333333</v>
      </c>
      <c r="R176" s="4">
        <f>76114/12</f>
        <v>6342.833333333333</v>
      </c>
      <c r="S176" s="4">
        <f>76114/12</f>
        <v>6342.833333333333</v>
      </c>
      <c r="T176" s="4">
        <f>78398/12</f>
        <v>6533.166666666667</v>
      </c>
      <c r="U176" s="4">
        <f>78398/12</f>
        <v>6533.166666666667</v>
      </c>
      <c r="V176" s="4">
        <f>78398/12</f>
        <v>6533.166666666667</v>
      </c>
      <c r="W176" s="4">
        <f>80750/12</f>
        <v>6729.166666666667</v>
      </c>
      <c r="X176" s="4">
        <f>80750/12</f>
        <v>6729.166666666667</v>
      </c>
      <c r="Y176" s="4">
        <f>80750/12</f>
        <v>6729.166666666667</v>
      </c>
      <c r="Z176" s="4">
        <f>83172/12</f>
        <v>6931</v>
      </c>
      <c r="AA176" s="4">
        <f>83172/12</f>
        <v>6931</v>
      </c>
      <c r="AB176" s="4">
        <f>86094/12</f>
        <v>7174.5</v>
      </c>
      <c r="AC176" s="5" t="s">
        <v>364</v>
      </c>
    </row>
    <row r="177" spans="1:29" ht="15.5" x14ac:dyDescent="0.35">
      <c r="A177" s="2" t="s">
        <v>510</v>
      </c>
      <c r="B177" s="1" t="s">
        <v>511</v>
      </c>
      <c r="C177" s="4">
        <f>76101/12</f>
        <v>6341.75</v>
      </c>
      <c r="D177" s="4">
        <f>78384/12</f>
        <v>6532</v>
      </c>
      <c r="E177" s="4">
        <f>78384/12</f>
        <v>6532</v>
      </c>
      <c r="F177" s="4">
        <f>80736/12</f>
        <v>6728</v>
      </c>
      <c r="G177" s="4">
        <f>80736/12</f>
        <v>6728</v>
      </c>
      <c r="H177" s="4">
        <f>83158/12</f>
        <v>6929.833333333333</v>
      </c>
      <c r="I177" s="4">
        <f>83158/12</f>
        <v>6929.833333333333</v>
      </c>
      <c r="J177" s="4">
        <f>85652/12</f>
        <v>7137.666666666667</v>
      </c>
      <c r="K177" s="4">
        <f>85652/12</f>
        <v>7137.666666666667</v>
      </c>
      <c r="L177" s="4">
        <f>85652/12</f>
        <v>7137.666666666667</v>
      </c>
      <c r="M177" s="4">
        <f>93224/12</f>
        <v>7768.666666666667</v>
      </c>
      <c r="N177" s="4">
        <f>93224/12</f>
        <v>7768.666666666667</v>
      </c>
      <c r="O177" s="4">
        <f>96020/12</f>
        <v>8001.666666666667</v>
      </c>
      <c r="P177" s="4">
        <f>96020/12</f>
        <v>8001.666666666667</v>
      </c>
      <c r="Q177" s="4">
        <f>96020/12</f>
        <v>8001.666666666667</v>
      </c>
      <c r="R177" s="4">
        <f>98901/12</f>
        <v>8241.75</v>
      </c>
      <c r="S177" s="4">
        <f>98901/12</f>
        <v>8241.75</v>
      </c>
      <c r="T177" s="4">
        <f>101868/12</f>
        <v>8489</v>
      </c>
      <c r="U177" s="4">
        <f>101868/12</f>
        <v>8489</v>
      </c>
      <c r="V177" s="4">
        <f>101868/12</f>
        <v>8489</v>
      </c>
      <c r="W177" s="4">
        <f>104924/12</f>
        <v>8743.6666666666661</v>
      </c>
      <c r="X177" s="4">
        <f>104924/12</f>
        <v>8743.6666666666661</v>
      </c>
      <c r="Y177" s="4">
        <f>104924/12</f>
        <v>8743.6666666666661</v>
      </c>
      <c r="Z177" s="4">
        <f>108072/12</f>
        <v>9006</v>
      </c>
      <c r="AA177" s="4">
        <f>108072/12</f>
        <v>9006</v>
      </c>
      <c r="AB177" s="4">
        <f>110346/12</f>
        <v>9195.5</v>
      </c>
      <c r="AC177" s="5" t="s">
        <v>278</v>
      </c>
    </row>
    <row r="178" spans="1:29" ht="15.5" x14ac:dyDescent="0.35">
      <c r="A178" s="2" t="s">
        <v>366</v>
      </c>
      <c r="B178" s="1" t="s">
        <v>367</v>
      </c>
      <c r="C178" s="4">
        <f>89536/12</f>
        <v>7461.333333333333</v>
      </c>
      <c r="D178" s="4">
        <f>92222/12</f>
        <v>7685.166666666667</v>
      </c>
      <c r="E178" s="4">
        <f>92222/12</f>
        <v>7685.166666666667</v>
      </c>
      <c r="F178" s="4">
        <f>94989/12</f>
        <v>7915.75</v>
      </c>
      <c r="G178" s="4">
        <f>94989/12</f>
        <v>7915.75</v>
      </c>
      <c r="H178" s="4">
        <f>97838/12</f>
        <v>8153.166666666667</v>
      </c>
      <c r="I178" s="4">
        <f>97838/12</f>
        <v>8153.166666666667</v>
      </c>
      <c r="J178" s="4">
        <f>100773/12</f>
        <v>8397.75</v>
      </c>
      <c r="K178" s="4">
        <f>100773/12</f>
        <v>8397.75</v>
      </c>
      <c r="L178" s="4">
        <f>100773/12</f>
        <v>8397.75</v>
      </c>
      <c r="M178" s="4">
        <f>109681/12</f>
        <v>9140.0833333333339</v>
      </c>
      <c r="N178" s="4">
        <f>109681/12</f>
        <v>9140.0833333333339</v>
      </c>
      <c r="O178" s="4">
        <f>112972/12</f>
        <v>9414.3333333333339</v>
      </c>
      <c r="P178" s="4">
        <f>112972/12</f>
        <v>9414.3333333333339</v>
      </c>
      <c r="Q178" s="4">
        <f>112972/12</f>
        <v>9414.3333333333339</v>
      </c>
      <c r="R178" s="4">
        <f>116361/12</f>
        <v>9696.75</v>
      </c>
      <c r="S178" s="4">
        <f>116361/12</f>
        <v>9696.75</v>
      </c>
      <c r="T178" s="4">
        <f>119852/12</f>
        <v>9987.6666666666661</v>
      </c>
      <c r="U178" s="4">
        <f>119852/12</f>
        <v>9987.6666666666661</v>
      </c>
      <c r="V178" s="4">
        <f>119852/12</f>
        <v>9987.6666666666661</v>
      </c>
      <c r="W178" s="4">
        <f>123447/12</f>
        <v>10287.25</v>
      </c>
      <c r="X178" s="4">
        <f>123447/12</f>
        <v>10287.25</v>
      </c>
      <c r="Y178" s="4">
        <f>123447/12</f>
        <v>10287.25</v>
      </c>
      <c r="Z178" s="4">
        <f>127151/12</f>
        <v>10595.916666666666</v>
      </c>
      <c r="AA178" s="4">
        <f>127151/12</f>
        <v>10595.916666666666</v>
      </c>
      <c r="AB178" s="4">
        <f>129827/12</f>
        <v>10818.916666666666</v>
      </c>
      <c r="AC178" s="5" t="s">
        <v>366</v>
      </c>
    </row>
    <row r="179" spans="1:29" ht="15.5" x14ac:dyDescent="0.35">
      <c r="A179" s="2" t="s">
        <v>368</v>
      </c>
      <c r="B179" s="1" t="s">
        <v>369</v>
      </c>
      <c r="C179" s="4">
        <f>93751/12</f>
        <v>7812.583333333333</v>
      </c>
      <c r="D179" s="4">
        <f>96563/12</f>
        <v>8046.916666666667</v>
      </c>
      <c r="E179" s="4">
        <f>96563/12</f>
        <v>8046.916666666667</v>
      </c>
      <c r="F179" s="4">
        <f>99460/12</f>
        <v>8288.3333333333339</v>
      </c>
      <c r="G179" s="4">
        <f>99460/12</f>
        <v>8288.3333333333339</v>
      </c>
      <c r="H179" s="4">
        <f>102444/12</f>
        <v>8537</v>
      </c>
      <c r="I179" s="4">
        <f>102444/12</f>
        <v>8537</v>
      </c>
      <c r="J179" s="4">
        <f>105517/12</f>
        <v>8793.0833333333339</v>
      </c>
      <c r="K179" s="4">
        <f>105517/12</f>
        <v>8793.0833333333339</v>
      </c>
      <c r="L179" s="4">
        <f>105517/12</f>
        <v>8793.0833333333339</v>
      </c>
      <c r="M179" s="4">
        <f>114844/12</f>
        <v>9570.3333333333339</v>
      </c>
      <c r="N179" s="4">
        <f>114844/12</f>
        <v>9570.3333333333339</v>
      </c>
      <c r="O179" s="4">
        <f>118290/12</f>
        <v>9857.5</v>
      </c>
      <c r="P179" s="4">
        <f>118290/12</f>
        <v>9857.5</v>
      </c>
      <c r="Q179" s="4">
        <f>118290/12</f>
        <v>9857.5</v>
      </c>
      <c r="R179" s="4">
        <f>121839/12</f>
        <v>10153.25</v>
      </c>
      <c r="S179" s="4">
        <f>121839/12</f>
        <v>10153.25</v>
      </c>
      <c r="T179" s="4">
        <f>125494/12</f>
        <v>10457.833333333334</v>
      </c>
      <c r="U179" s="4">
        <f>125494/12</f>
        <v>10457.833333333334</v>
      </c>
      <c r="V179" s="4">
        <f>125494/12</f>
        <v>10457.833333333334</v>
      </c>
      <c r="W179" s="4">
        <f>129258/12</f>
        <v>10771.5</v>
      </c>
      <c r="X179" s="4">
        <f>129258/12</f>
        <v>10771.5</v>
      </c>
      <c r="Y179" s="4">
        <f>129258/12</f>
        <v>10771.5</v>
      </c>
      <c r="Z179" s="4">
        <f>133136/12</f>
        <v>11094.666666666666</v>
      </c>
      <c r="AA179" s="4">
        <f>133136/12</f>
        <v>11094.666666666666</v>
      </c>
      <c r="AB179" s="4">
        <f>135938/12</f>
        <v>11328.166666666666</v>
      </c>
      <c r="AC179" s="5" t="s">
        <v>370</v>
      </c>
    </row>
    <row r="180" spans="1:29" ht="15.5" x14ac:dyDescent="0.35">
      <c r="A180" s="2" t="s">
        <v>371</v>
      </c>
      <c r="B180" s="1" t="s">
        <v>372</v>
      </c>
      <c r="C180" s="4">
        <f>57840/12</f>
        <v>4820</v>
      </c>
      <c r="D180" s="4">
        <f>59576/12</f>
        <v>4964.666666666667</v>
      </c>
      <c r="E180" s="4">
        <f>59576/12</f>
        <v>4964.666666666667</v>
      </c>
      <c r="F180" s="4">
        <f>61363/12</f>
        <v>5113.583333333333</v>
      </c>
      <c r="G180" s="4">
        <f>61363/12</f>
        <v>5113.583333333333</v>
      </c>
      <c r="H180" s="4">
        <f>63204/12</f>
        <v>5267</v>
      </c>
      <c r="I180" s="4">
        <f>63204/12</f>
        <v>5267</v>
      </c>
      <c r="J180" s="4">
        <f>65100/12</f>
        <v>5425</v>
      </c>
      <c r="K180" s="4">
        <f>65100/12</f>
        <v>5425</v>
      </c>
      <c r="L180" s="4">
        <f>65100/12</f>
        <v>5425</v>
      </c>
      <c r="M180" s="4">
        <f>70855/12</f>
        <v>5904.583333333333</v>
      </c>
      <c r="N180" s="4">
        <f>70855/12</f>
        <v>5904.583333333333</v>
      </c>
      <c r="O180" s="4">
        <f>72980/12</f>
        <v>6081.666666666667</v>
      </c>
      <c r="P180" s="4">
        <f>72980/12</f>
        <v>6081.666666666667</v>
      </c>
      <c r="Q180" s="4">
        <f>72980/12</f>
        <v>6081.666666666667</v>
      </c>
      <c r="R180" s="4">
        <f>75170/12</f>
        <v>6264.166666666667</v>
      </c>
      <c r="S180" s="4">
        <f>75170/12</f>
        <v>6264.166666666667</v>
      </c>
      <c r="T180" s="4">
        <f>77425/12</f>
        <v>6452.083333333333</v>
      </c>
      <c r="U180" s="4">
        <f>77425/12</f>
        <v>6452.083333333333</v>
      </c>
      <c r="V180" s="4">
        <f>77425/12</f>
        <v>6452.083333333333</v>
      </c>
      <c r="W180" s="4">
        <f>79747/12</f>
        <v>6645.583333333333</v>
      </c>
      <c r="X180" s="4">
        <f>79747/12</f>
        <v>6645.583333333333</v>
      </c>
      <c r="Y180" s="4">
        <f>79747/12</f>
        <v>6645.583333333333</v>
      </c>
      <c r="Z180" s="4">
        <f>82140/12</f>
        <v>6845</v>
      </c>
      <c r="AA180" s="4">
        <f>82140/12</f>
        <v>6845</v>
      </c>
      <c r="AB180" s="4">
        <f>83869/12</f>
        <v>6989.083333333333</v>
      </c>
      <c r="AC180" s="6" t="s">
        <v>373</v>
      </c>
    </row>
    <row r="181" spans="1:29" ht="15.5" x14ac:dyDescent="0.35">
      <c r="A181" s="2" t="s">
        <v>374</v>
      </c>
      <c r="B181" s="1" t="s">
        <v>375</v>
      </c>
      <c r="C181" s="4">
        <f>68919/12</f>
        <v>5743.25</v>
      </c>
      <c r="D181" s="4">
        <f>70987/12</f>
        <v>5915.583333333333</v>
      </c>
      <c r="E181" s="4">
        <f>70987/12</f>
        <v>5915.583333333333</v>
      </c>
      <c r="F181" s="4">
        <f>73117/12</f>
        <v>6093.083333333333</v>
      </c>
      <c r="G181" s="4">
        <f>73117/12</f>
        <v>6093.083333333333</v>
      </c>
      <c r="H181" s="4">
        <f>75310/12</f>
        <v>6275.833333333333</v>
      </c>
      <c r="I181" s="4">
        <f>75310/12</f>
        <v>6275.833333333333</v>
      </c>
      <c r="J181" s="4">
        <f>77569/12</f>
        <v>6464.083333333333</v>
      </c>
      <c r="K181" s="4">
        <f>77569/12</f>
        <v>6464.083333333333</v>
      </c>
      <c r="L181" s="4">
        <f>77569/12</f>
        <v>6464.083333333333</v>
      </c>
      <c r="M181" s="4">
        <f>84426/12</f>
        <v>7035.5</v>
      </c>
      <c r="N181" s="4">
        <f>84426/12</f>
        <v>7035.5</v>
      </c>
      <c r="O181" s="4">
        <f>86959/12</f>
        <v>7246.583333333333</v>
      </c>
      <c r="P181" s="4">
        <f>86959/12</f>
        <v>7246.583333333333</v>
      </c>
      <c r="Q181" s="4">
        <f>86959/12</f>
        <v>7246.583333333333</v>
      </c>
      <c r="R181" s="4">
        <f>89568/12</f>
        <v>7464</v>
      </c>
      <c r="S181" s="4">
        <f>89568/12</f>
        <v>7464</v>
      </c>
      <c r="T181" s="4">
        <f>92255/12</f>
        <v>7687.916666666667</v>
      </c>
      <c r="U181" s="4">
        <f>92255/12</f>
        <v>7687.916666666667</v>
      </c>
      <c r="V181" s="4">
        <f>92255/12</f>
        <v>7687.916666666667</v>
      </c>
      <c r="W181" s="4">
        <f>95022/12</f>
        <v>7918.5</v>
      </c>
      <c r="X181" s="4">
        <f>95022/12</f>
        <v>7918.5</v>
      </c>
      <c r="Y181" s="4">
        <f>95022/12</f>
        <v>7918.5</v>
      </c>
      <c r="Z181" s="4">
        <f>97873/12</f>
        <v>8156.083333333333</v>
      </c>
      <c r="AA181" s="4">
        <f>97873/12</f>
        <v>8156.083333333333</v>
      </c>
      <c r="AB181" s="4">
        <f>99933/12</f>
        <v>8327.75</v>
      </c>
      <c r="AC181" s="5" t="s">
        <v>374</v>
      </c>
    </row>
    <row r="182" spans="1:29" ht="15.5" x14ac:dyDescent="0.35">
      <c r="A182" s="2" t="s">
        <v>376</v>
      </c>
      <c r="B182" s="1" t="s">
        <v>377</v>
      </c>
      <c r="C182" s="4">
        <f>76101/12</f>
        <v>6341.75</v>
      </c>
      <c r="D182" s="4">
        <f>78384/12</f>
        <v>6532</v>
      </c>
      <c r="E182" s="4">
        <f>78384/12</f>
        <v>6532</v>
      </c>
      <c r="F182" s="4">
        <f>80735/12</f>
        <v>6727.916666666667</v>
      </c>
      <c r="G182" s="4">
        <f>80735/12</f>
        <v>6727.916666666667</v>
      </c>
      <c r="H182" s="4">
        <f>83157/12</f>
        <v>6929.75</v>
      </c>
      <c r="I182" s="4">
        <f>83157/12</f>
        <v>6929.75</v>
      </c>
      <c r="J182" s="4">
        <f>85652/12</f>
        <v>7137.666666666667</v>
      </c>
      <c r="K182" s="4">
        <f>85652/12</f>
        <v>7137.666666666667</v>
      </c>
      <c r="L182" s="4">
        <f>85652/12</f>
        <v>7137.666666666667</v>
      </c>
      <c r="M182" s="4">
        <f>93223/12</f>
        <v>7768.583333333333</v>
      </c>
      <c r="N182" s="4">
        <f>93223/12</f>
        <v>7768.583333333333</v>
      </c>
      <c r="O182" s="4">
        <f>96020/12</f>
        <v>8001.666666666667</v>
      </c>
      <c r="P182" s="4">
        <f>96020/12</f>
        <v>8001.666666666667</v>
      </c>
      <c r="Q182" s="4">
        <f>96020/12</f>
        <v>8001.666666666667</v>
      </c>
      <c r="R182" s="4">
        <f>98900/12</f>
        <v>8241.6666666666661</v>
      </c>
      <c r="S182" s="4">
        <f>98900/12</f>
        <v>8241.6666666666661</v>
      </c>
      <c r="T182" s="4">
        <f>101867/12</f>
        <v>8488.9166666666661</v>
      </c>
      <c r="U182" s="4">
        <f>101867/12</f>
        <v>8488.9166666666661</v>
      </c>
      <c r="V182" s="4">
        <f>101867/12</f>
        <v>8488.9166666666661</v>
      </c>
      <c r="W182" s="4">
        <f>104923/12</f>
        <v>8743.5833333333339</v>
      </c>
      <c r="X182" s="4">
        <f>104923/12</f>
        <v>8743.5833333333339</v>
      </c>
      <c r="Y182" s="4">
        <f>104923/12</f>
        <v>8743.5833333333339</v>
      </c>
      <c r="Z182" s="4">
        <f>108071/12</f>
        <v>9005.9166666666661</v>
      </c>
      <c r="AA182" s="4">
        <f>108071/12</f>
        <v>9005.9166666666661</v>
      </c>
      <c r="AB182" s="4">
        <f>110346/12</f>
        <v>9195.5</v>
      </c>
      <c r="AC182" s="5" t="s">
        <v>376</v>
      </c>
    </row>
    <row r="183" spans="1:29" ht="15.5" x14ac:dyDescent="0.35">
      <c r="A183" s="2" t="s">
        <v>378</v>
      </c>
      <c r="B183" s="1" t="s">
        <v>379</v>
      </c>
      <c r="C183" s="4">
        <f>89536/12</f>
        <v>7461.333333333333</v>
      </c>
      <c r="D183" s="4">
        <f>92222/12</f>
        <v>7685.166666666667</v>
      </c>
      <c r="E183" s="4">
        <f>92222/12</f>
        <v>7685.166666666667</v>
      </c>
      <c r="F183" s="4">
        <f>94989/12</f>
        <v>7915.75</v>
      </c>
      <c r="G183" s="4">
        <f>94989/12</f>
        <v>7915.75</v>
      </c>
      <c r="H183" s="4">
        <f>97838/12</f>
        <v>8153.166666666667</v>
      </c>
      <c r="I183" s="4">
        <f>97838/12</f>
        <v>8153.166666666667</v>
      </c>
      <c r="J183" s="4">
        <f>100773/12</f>
        <v>8397.75</v>
      </c>
      <c r="K183" s="4">
        <f>100773/12</f>
        <v>8397.75</v>
      </c>
      <c r="L183" s="4">
        <f>100773/12</f>
        <v>8397.75</v>
      </c>
      <c r="M183" s="4">
        <f>109681/12</f>
        <v>9140.0833333333339</v>
      </c>
      <c r="N183" s="4">
        <f>109681/12</f>
        <v>9140.0833333333339</v>
      </c>
      <c r="O183" s="4">
        <f>112972/12</f>
        <v>9414.3333333333339</v>
      </c>
      <c r="P183" s="4">
        <f>112972/12</f>
        <v>9414.3333333333339</v>
      </c>
      <c r="Q183" s="4">
        <f>112972/12</f>
        <v>9414.3333333333339</v>
      </c>
      <c r="R183" s="4">
        <f>116361/12</f>
        <v>9696.75</v>
      </c>
      <c r="S183" s="4">
        <f>116361/12</f>
        <v>9696.75</v>
      </c>
      <c r="T183" s="4">
        <f>119852/12</f>
        <v>9987.6666666666661</v>
      </c>
      <c r="U183" s="4">
        <f>119852/12</f>
        <v>9987.6666666666661</v>
      </c>
      <c r="V183" s="4">
        <f>119852/12</f>
        <v>9987.6666666666661</v>
      </c>
      <c r="W183" s="4">
        <f>123447/12</f>
        <v>10287.25</v>
      </c>
      <c r="X183" s="4">
        <f>123447/12</f>
        <v>10287.25</v>
      </c>
      <c r="Y183" s="4">
        <f>123447/12</f>
        <v>10287.25</v>
      </c>
      <c r="Z183" s="4">
        <f>127151/12</f>
        <v>10595.916666666666</v>
      </c>
      <c r="AA183" s="4">
        <f>127151/12</f>
        <v>10595.916666666666</v>
      </c>
      <c r="AB183" s="4">
        <f>129827/12</f>
        <v>10818.916666666666</v>
      </c>
      <c r="AC183" s="5" t="s">
        <v>378</v>
      </c>
    </row>
    <row r="184" spans="1:29" ht="15.5" x14ac:dyDescent="0.35">
      <c r="A184" s="2" t="s">
        <v>380</v>
      </c>
      <c r="B184" s="1" t="s">
        <v>381</v>
      </c>
      <c r="C184" s="4">
        <f>103317/12</f>
        <v>8609.75</v>
      </c>
      <c r="D184" s="4">
        <f>106417/12</f>
        <v>8868.0833333333339</v>
      </c>
      <c r="E184" s="4">
        <f>106417/12</f>
        <v>8868.0833333333339</v>
      </c>
      <c r="F184" s="4">
        <f>109609/12</f>
        <v>9134.0833333333339</v>
      </c>
      <c r="G184" s="4">
        <f>109609/12</f>
        <v>9134.0833333333339</v>
      </c>
      <c r="H184" s="4">
        <f>112898/12</f>
        <v>9408.1666666666661</v>
      </c>
      <c r="I184" s="4">
        <f>112898/12</f>
        <v>9408.1666666666661</v>
      </c>
      <c r="J184" s="4">
        <f>116284/12</f>
        <v>9690.3333333333339</v>
      </c>
      <c r="K184" s="4">
        <f>116284/12</f>
        <v>9690.3333333333339</v>
      </c>
      <c r="L184" s="4">
        <f>116284/12</f>
        <v>9690.3333333333339</v>
      </c>
      <c r="M184" s="4">
        <f>126564/12</f>
        <v>10547</v>
      </c>
      <c r="N184" s="4">
        <f>126564/12</f>
        <v>10547</v>
      </c>
      <c r="O184" s="4">
        <f>130361/12</f>
        <v>10863.416666666666</v>
      </c>
      <c r="P184" s="4">
        <f>130361/12</f>
        <v>10863.416666666666</v>
      </c>
      <c r="Q184" s="4">
        <f>130361/12</f>
        <v>10863.416666666666</v>
      </c>
      <c r="R184" s="4">
        <f>134271/12</f>
        <v>11189.25</v>
      </c>
      <c r="S184" s="4">
        <f>134271/12</f>
        <v>11189.25</v>
      </c>
      <c r="T184" s="4">
        <f>138299/12</f>
        <v>11524.916666666666</v>
      </c>
      <c r="U184" s="4">
        <f>138299/12</f>
        <v>11524.916666666666</v>
      </c>
      <c r="V184" s="4">
        <f>138299/12</f>
        <v>11524.916666666666</v>
      </c>
      <c r="W184" s="4">
        <f>142448/12</f>
        <v>11870.666666666666</v>
      </c>
      <c r="X184" s="4">
        <f>142448/12</f>
        <v>11870.666666666666</v>
      </c>
      <c r="Y184" s="4">
        <f>142448/12</f>
        <v>11870.666666666666</v>
      </c>
      <c r="Z184" s="4">
        <f>146722/12</f>
        <v>12226.833333333334</v>
      </c>
      <c r="AA184" s="4">
        <f>146722/12</f>
        <v>12226.833333333334</v>
      </c>
      <c r="AB184" s="4">
        <f>149810/12</f>
        <v>12484.166666666666</v>
      </c>
      <c r="AC184" s="5" t="s">
        <v>380</v>
      </c>
    </row>
    <row r="185" spans="1:29" ht="15.5" x14ac:dyDescent="0.35">
      <c r="A185" s="2" t="s">
        <v>382</v>
      </c>
      <c r="B185" s="1" t="s">
        <v>383</v>
      </c>
      <c r="C185" s="4">
        <f>81489/12</f>
        <v>6790.75</v>
      </c>
      <c r="D185" s="4">
        <f>83934/12</f>
        <v>6994.5</v>
      </c>
      <c r="E185" s="4">
        <f>83934/12</f>
        <v>6994.5</v>
      </c>
      <c r="F185" s="4">
        <f>86452/12</f>
        <v>7204.333333333333</v>
      </c>
      <c r="G185" s="4">
        <f>86452/12</f>
        <v>7204.333333333333</v>
      </c>
      <c r="H185" s="4">
        <f>89046/12</f>
        <v>7420.5</v>
      </c>
      <c r="I185" s="4">
        <f>89046/12</f>
        <v>7420.5</v>
      </c>
      <c r="J185" s="4">
        <f>91717/12</f>
        <v>7643.083333333333</v>
      </c>
      <c r="K185" s="4">
        <f>91717/12</f>
        <v>7643.083333333333</v>
      </c>
      <c r="L185" s="4">
        <f>91717/12</f>
        <v>7643.083333333333</v>
      </c>
      <c r="M185" s="4">
        <f>99825/12</f>
        <v>8318.75</v>
      </c>
      <c r="N185" s="4">
        <f>99825/12</f>
        <v>8318.75</v>
      </c>
      <c r="O185" s="4">
        <f>102819/12</f>
        <v>8568.25</v>
      </c>
      <c r="P185" s="4">
        <f>102819/12</f>
        <v>8568.25</v>
      </c>
      <c r="Q185" s="4">
        <f>102819/12</f>
        <v>8568.25</v>
      </c>
      <c r="R185" s="4">
        <f>105904/12</f>
        <v>8825.3333333333339</v>
      </c>
      <c r="S185" s="4">
        <f>105904/12</f>
        <v>8825.3333333333339</v>
      </c>
      <c r="T185" s="4">
        <f>109081/12</f>
        <v>9090.0833333333339</v>
      </c>
      <c r="U185" s="4">
        <f>109081/12</f>
        <v>9090.0833333333339</v>
      </c>
      <c r="V185" s="4">
        <f>109081/12</f>
        <v>9090.0833333333339</v>
      </c>
      <c r="W185" s="4">
        <f>112353/12</f>
        <v>9362.75</v>
      </c>
      <c r="X185" s="4">
        <f>112353/12</f>
        <v>9362.75</v>
      </c>
      <c r="Y185" s="4">
        <f>112353/12</f>
        <v>9362.75</v>
      </c>
      <c r="Z185" s="4">
        <f>115724/12</f>
        <v>9643.6666666666661</v>
      </c>
      <c r="AA185" s="4">
        <f>115724/12</f>
        <v>9643.6666666666661</v>
      </c>
      <c r="AB185" s="4">
        <f>118160/12</f>
        <v>9846.6666666666661</v>
      </c>
      <c r="AC185" s="5" t="s">
        <v>384</v>
      </c>
    </row>
    <row r="186" spans="1:29" ht="15.5" x14ac:dyDescent="0.35">
      <c r="A186" s="2" t="s">
        <v>385</v>
      </c>
      <c r="B186" s="1" t="s">
        <v>386</v>
      </c>
      <c r="C186" s="4">
        <f>45321/12</f>
        <v>3776.75</v>
      </c>
      <c r="D186" s="4">
        <f>46681/12</f>
        <v>3890.0833333333335</v>
      </c>
      <c r="E186" s="4">
        <f>46681/12</f>
        <v>3890.0833333333335</v>
      </c>
      <c r="F186" s="4">
        <f>48081/12</f>
        <v>4006.75</v>
      </c>
      <c r="G186" s="4">
        <f>48081/12</f>
        <v>4006.75</v>
      </c>
      <c r="H186" s="4">
        <f>49524/12</f>
        <v>4127</v>
      </c>
      <c r="I186" s="4">
        <f>49524/12</f>
        <v>4127</v>
      </c>
      <c r="J186" s="4">
        <f>51009/12</f>
        <v>4250.75</v>
      </c>
      <c r="K186" s="4">
        <f>51009/12</f>
        <v>4250.75</v>
      </c>
      <c r="L186" s="4">
        <f>51009/12</f>
        <v>4250.75</v>
      </c>
      <c r="M186" s="4">
        <f>55518/12</f>
        <v>4626.5</v>
      </c>
      <c r="N186" s="4">
        <f>55518/12</f>
        <v>4626.5</v>
      </c>
      <c r="O186" s="4">
        <f>57184/12</f>
        <v>4765.333333333333</v>
      </c>
      <c r="P186" s="4">
        <f>57184/12</f>
        <v>4765.333333333333</v>
      </c>
      <c r="Q186" s="4">
        <f>57184/12</f>
        <v>4765.333333333333</v>
      </c>
      <c r="R186" s="4">
        <f>58899/12</f>
        <v>4908.25</v>
      </c>
      <c r="S186" s="4">
        <f>58899/12</f>
        <v>4908.25</v>
      </c>
      <c r="T186" s="4">
        <f>60666/12</f>
        <v>5055.5</v>
      </c>
      <c r="U186" s="4">
        <f>60666/12</f>
        <v>5055.5</v>
      </c>
      <c r="V186" s="4">
        <f>60666/12</f>
        <v>5055.5</v>
      </c>
      <c r="W186" s="4">
        <f>62486/12</f>
        <v>5207.166666666667</v>
      </c>
      <c r="X186" s="4">
        <f>62486/12</f>
        <v>5207.166666666667</v>
      </c>
      <c r="Y186" s="4">
        <f>62486/12</f>
        <v>5207.166666666667</v>
      </c>
      <c r="Z186" s="4">
        <f>64361/12</f>
        <v>5363.416666666667</v>
      </c>
      <c r="AA186" s="4">
        <f>64361/12</f>
        <v>5363.416666666667</v>
      </c>
      <c r="AB186" s="4">
        <f>65716/12</f>
        <v>5476.333333333333</v>
      </c>
      <c r="AC186" s="5" t="s">
        <v>387</v>
      </c>
    </row>
    <row r="187" spans="1:29" ht="15.5" x14ac:dyDescent="0.35">
      <c r="A187" s="2" t="s">
        <v>388</v>
      </c>
      <c r="B187" s="1" t="s">
        <v>389</v>
      </c>
      <c r="C187" s="4">
        <f>57711/12</f>
        <v>4809.25</v>
      </c>
      <c r="D187" s="4">
        <f>59442/12</f>
        <v>4953.5</v>
      </c>
      <c r="E187" s="4">
        <f>59442/12</f>
        <v>4953.5</v>
      </c>
      <c r="F187" s="4">
        <f>61225/12</f>
        <v>5102.083333333333</v>
      </c>
      <c r="G187" s="4">
        <f>61225/12</f>
        <v>5102.083333333333</v>
      </c>
      <c r="H187" s="4">
        <f>63062/12</f>
        <v>5255.166666666667</v>
      </c>
      <c r="I187" s="4">
        <f>63062/12</f>
        <v>5255.166666666667</v>
      </c>
      <c r="J187" s="4">
        <f>64954/12</f>
        <v>5412.833333333333</v>
      </c>
      <c r="K187" s="4">
        <f>64954/12</f>
        <v>5412.833333333333</v>
      </c>
      <c r="L187" s="4">
        <f>64954/12</f>
        <v>5412.833333333333</v>
      </c>
      <c r="M187" s="4">
        <f>71707/12</f>
        <v>5975.583333333333</v>
      </c>
      <c r="N187" s="4">
        <f>71707/12</f>
        <v>5975.583333333333</v>
      </c>
      <c r="O187" s="4">
        <f>73859/12</f>
        <v>6154.916666666667</v>
      </c>
      <c r="P187" s="4">
        <f>73859/12</f>
        <v>6154.916666666667</v>
      </c>
      <c r="Q187" s="4">
        <f>73859/12</f>
        <v>6154.916666666667</v>
      </c>
      <c r="R187" s="4">
        <f>76074/12</f>
        <v>6339.5</v>
      </c>
      <c r="S187" s="4">
        <f>76074/12</f>
        <v>6339.5</v>
      </c>
      <c r="T187" s="4">
        <f>78357/12</f>
        <v>6529.75</v>
      </c>
      <c r="U187" s="4">
        <f>78357/12</f>
        <v>6529.75</v>
      </c>
      <c r="V187" s="4">
        <f>78357/12</f>
        <v>6529.75</v>
      </c>
      <c r="W187" s="4">
        <f>80707/12</f>
        <v>6725.583333333333</v>
      </c>
      <c r="X187" s="4">
        <f>80707/12</f>
        <v>6725.583333333333</v>
      </c>
      <c r="Y187" s="4">
        <f>80707/12</f>
        <v>6725.583333333333</v>
      </c>
      <c r="Z187" s="4">
        <f>83129/12</f>
        <v>6927.416666666667</v>
      </c>
      <c r="AA187" s="4">
        <f>83129/12</f>
        <v>6927.416666666667</v>
      </c>
      <c r="AB187" s="4">
        <f>85704/12</f>
        <v>7142</v>
      </c>
      <c r="AC187" s="5" t="s">
        <v>390</v>
      </c>
    </row>
    <row r="188" spans="1:29" ht="15.5" x14ac:dyDescent="0.35">
      <c r="A188" s="2" t="s">
        <v>391</v>
      </c>
      <c r="B188" s="1" t="s">
        <v>392</v>
      </c>
      <c r="C188" s="4">
        <f>65435/12</f>
        <v>5452.916666666667</v>
      </c>
      <c r="D188" s="4">
        <f>67398/12</f>
        <v>5616.5</v>
      </c>
      <c r="E188" s="4">
        <f>67398/12</f>
        <v>5616.5</v>
      </c>
      <c r="F188" s="4">
        <f>69420/12</f>
        <v>5785</v>
      </c>
      <c r="G188" s="4">
        <f>69420/12</f>
        <v>5785</v>
      </c>
      <c r="H188" s="4">
        <f>71503/12</f>
        <v>5958.583333333333</v>
      </c>
      <c r="I188" s="4">
        <f>71503/12</f>
        <v>5958.583333333333</v>
      </c>
      <c r="J188" s="4">
        <f>73648/12</f>
        <v>6137.333333333333</v>
      </c>
      <c r="K188" s="4">
        <f>73648/12</f>
        <v>6137.333333333333</v>
      </c>
      <c r="L188" s="4">
        <f>73648/12</f>
        <v>6137.333333333333</v>
      </c>
      <c r="M188" s="4">
        <f>82512/12</f>
        <v>6876</v>
      </c>
      <c r="N188" s="4">
        <f>82512/12</f>
        <v>6876</v>
      </c>
      <c r="O188" s="4">
        <f>84987/12</f>
        <v>7082.25</v>
      </c>
      <c r="P188" s="4">
        <f>84987/12</f>
        <v>7082.25</v>
      </c>
      <c r="Q188" s="4">
        <f>84987/12</f>
        <v>7082.25</v>
      </c>
      <c r="R188" s="4">
        <f>87536/12</f>
        <v>7294.666666666667</v>
      </c>
      <c r="S188" s="4">
        <f>87536/12</f>
        <v>7294.666666666667</v>
      </c>
      <c r="T188" s="4">
        <f>90163/12</f>
        <v>7513.583333333333</v>
      </c>
      <c r="U188" s="4">
        <f>90163/12</f>
        <v>7513.583333333333</v>
      </c>
      <c r="V188" s="4">
        <f>90163/12</f>
        <v>7513.583333333333</v>
      </c>
      <c r="W188" s="4">
        <f>92867/12</f>
        <v>7738.916666666667</v>
      </c>
      <c r="X188" s="4">
        <f>92867/12</f>
        <v>7738.916666666667</v>
      </c>
      <c r="Y188" s="4">
        <f>92867/12</f>
        <v>7738.916666666667</v>
      </c>
      <c r="Z188" s="4">
        <f>95653/12</f>
        <v>7971.083333333333</v>
      </c>
      <c r="AA188" s="4">
        <f>95653/12</f>
        <v>7971.083333333333</v>
      </c>
      <c r="AB188" s="4">
        <f>99588/12</f>
        <v>8299</v>
      </c>
      <c r="AC188" s="5" t="s">
        <v>393</v>
      </c>
    </row>
    <row r="189" spans="1:29" ht="15.5" x14ac:dyDescent="0.35">
      <c r="A189" s="2" t="s">
        <v>394</v>
      </c>
      <c r="B189" s="1" t="s">
        <v>395</v>
      </c>
      <c r="C189" s="4">
        <f>66917/12</f>
        <v>5576.416666666667</v>
      </c>
      <c r="D189" s="4">
        <f>68925/12</f>
        <v>5743.75</v>
      </c>
      <c r="E189" s="4">
        <f>68925/12</f>
        <v>5743.75</v>
      </c>
      <c r="F189" s="4">
        <f>70992/12</f>
        <v>5916</v>
      </c>
      <c r="G189" s="4">
        <f>70992/12</f>
        <v>5916</v>
      </c>
      <c r="H189" s="4">
        <f>73122/12</f>
        <v>6093.5</v>
      </c>
      <c r="I189" s="4">
        <f>73122/12</f>
        <v>6093.5</v>
      </c>
      <c r="J189" s="4">
        <f>75316/12</f>
        <v>6276.333333333333</v>
      </c>
      <c r="K189" s="4">
        <f>75316/12</f>
        <v>6276.333333333333</v>
      </c>
      <c r="L189" s="4">
        <f>75316/12</f>
        <v>6276.333333333333</v>
      </c>
      <c r="M189" s="4">
        <f>81973/12</f>
        <v>6831.083333333333</v>
      </c>
      <c r="N189" s="4">
        <f>81973/12</f>
        <v>6831.083333333333</v>
      </c>
      <c r="O189" s="4">
        <f>84433/12</f>
        <v>7036.083333333333</v>
      </c>
      <c r="P189" s="4">
        <f>84433/12</f>
        <v>7036.083333333333</v>
      </c>
      <c r="Q189" s="4">
        <f>84433/12</f>
        <v>7036.083333333333</v>
      </c>
      <c r="R189" s="4">
        <f>86966/12</f>
        <v>7247.166666666667</v>
      </c>
      <c r="S189" s="4">
        <f>86966/12</f>
        <v>7247.166666666667</v>
      </c>
      <c r="T189" s="4">
        <f>89575/12</f>
        <v>7464.583333333333</v>
      </c>
      <c r="U189" s="4">
        <f>89575/12</f>
        <v>7464.583333333333</v>
      </c>
      <c r="V189" s="4">
        <f>89575/12</f>
        <v>7464.583333333333</v>
      </c>
      <c r="W189" s="4">
        <f>92262/12</f>
        <v>7688.5</v>
      </c>
      <c r="X189" s="4">
        <f>92262/12</f>
        <v>7688.5</v>
      </c>
      <c r="Y189" s="4">
        <f>92262/12</f>
        <v>7688.5</v>
      </c>
      <c r="Z189" s="4">
        <f>95030/12</f>
        <v>7919.166666666667</v>
      </c>
      <c r="AA189" s="4">
        <f>95030/12</f>
        <v>7919.166666666667</v>
      </c>
      <c r="AB189" s="4">
        <f>97030/12</f>
        <v>8085.833333333333</v>
      </c>
      <c r="AC189" s="5" t="s">
        <v>394</v>
      </c>
    </row>
    <row r="190" spans="1:29" ht="15.5" x14ac:dyDescent="0.35">
      <c r="A190" s="2" t="s">
        <v>396</v>
      </c>
      <c r="B190" s="1" t="s">
        <v>397</v>
      </c>
      <c r="C190" s="4">
        <f>73888/12</f>
        <v>6157.333333333333</v>
      </c>
      <c r="D190" s="4">
        <f>76105/12</f>
        <v>6342.083333333333</v>
      </c>
      <c r="E190" s="4">
        <f>76105/12</f>
        <v>6342.083333333333</v>
      </c>
      <c r="F190" s="4">
        <f>78388/12</f>
        <v>6532.333333333333</v>
      </c>
      <c r="G190" s="4">
        <f>78388/12</f>
        <v>6532.333333333333</v>
      </c>
      <c r="H190" s="4">
        <f>80739/12</f>
        <v>6728.25</v>
      </c>
      <c r="I190" s="4">
        <f>80739/12</f>
        <v>6728.25</v>
      </c>
      <c r="J190" s="4">
        <f>83162/12</f>
        <v>6930.166666666667</v>
      </c>
      <c r="K190" s="4">
        <f>83162/12</f>
        <v>6930.166666666667</v>
      </c>
      <c r="L190" s="4">
        <f>83162/12</f>
        <v>6930.166666666667</v>
      </c>
      <c r="M190" s="4">
        <f>90513/12</f>
        <v>7542.75</v>
      </c>
      <c r="N190" s="4">
        <f>90513/12</f>
        <v>7542.75</v>
      </c>
      <c r="O190" s="4">
        <f>93228/12</f>
        <v>7769</v>
      </c>
      <c r="P190" s="4">
        <f>93228/12</f>
        <v>7769</v>
      </c>
      <c r="Q190" s="4">
        <f>93228/12</f>
        <v>7769</v>
      </c>
      <c r="R190" s="4">
        <f>96025/12</f>
        <v>8002.083333333333</v>
      </c>
      <c r="S190" s="4">
        <f>96025/12</f>
        <v>8002.083333333333</v>
      </c>
      <c r="T190" s="4">
        <f>98906/12</f>
        <v>8242.1666666666661</v>
      </c>
      <c r="U190" s="4">
        <f>98906/12</f>
        <v>8242.1666666666661</v>
      </c>
      <c r="V190" s="4">
        <f>98906/12</f>
        <v>8242.1666666666661</v>
      </c>
      <c r="W190" s="4">
        <f>101873/12</f>
        <v>8489.4166666666661</v>
      </c>
      <c r="X190" s="4">
        <f>101873/12</f>
        <v>8489.4166666666661</v>
      </c>
      <c r="Y190" s="4">
        <f>101873/12</f>
        <v>8489.4166666666661</v>
      </c>
      <c r="Z190" s="4">
        <f>104929/12</f>
        <v>8744.0833333333339</v>
      </c>
      <c r="AA190" s="4">
        <f>104929/12</f>
        <v>8744.0833333333339</v>
      </c>
      <c r="AB190" s="4">
        <f>107138/12</f>
        <v>8928.1666666666661</v>
      </c>
      <c r="AC190" s="5" t="s">
        <v>396</v>
      </c>
    </row>
    <row r="191" spans="1:29" ht="15.5" x14ac:dyDescent="0.35">
      <c r="A191" s="2" t="s">
        <v>533</v>
      </c>
      <c r="B191" s="1" t="s">
        <v>535</v>
      </c>
      <c r="C191" s="4">
        <f>110547/12</f>
        <v>9212.25</v>
      </c>
      <c r="D191" s="4">
        <f>113863/12</f>
        <v>9488.5833333333339</v>
      </c>
      <c r="E191" s="4">
        <f>113863/12</f>
        <v>9488.5833333333339</v>
      </c>
      <c r="F191" s="4">
        <f>117279/12</f>
        <v>9773.25</v>
      </c>
      <c r="G191" s="4">
        <f>117279/12</f>
        <v>9773.25</v>
      </c>
      <c r="H191" s="4">
        <f>120798/12</f>
        <v>10066.5</v>
      </c>
      <c r="I191" s="4">
        <f>120798/12</f>
        <v>10066.5</v>
      </c>
      <c r="J191" s="4">
        <f>124422/12</f>
        <v>10368.5</v>
      </c>
      <c r="K191" s="4">
        <f>124422/12</f>
        <v>10368.5</v>
      </c>
      <c r="L191" s="4">
        <f>124422/12</f>
        <v>10368.5</v>
      </c>
      <c r="M191" s="4">
        <f>135420/12</f>
        <v>11285</v>
      </c>
      <c r="N191" s="4">
        <f>135420/12</f>
        <v>11285</v>
      </c>
      <c r="O191" s="4">
        <f>139483/12</f>
        <v>11623.583333333334</v>
      </c>
      <c r="P191" s="4">
        <f>139483/12</f>
        <v>11623.583333333334</v>
      </c>
      <c r="Q191" s="4">
        <f>139483/12</f>
        <v>11623.583333333334</v>
      </c>
      <c r="R191" s="4">
        <f>143667/12</f>
        <v>11972.25</v>
      </c>
      <c r="S191" s="4">
        <f>143667/12</f>
        <v>11972.25</v>
      </c>
      <c r="T191" s="4">
        <f>147977/12</f>
        <v>12331.416666666666</v>
      </c>
      <c r="U191" s="4">
        <f>147977/12</f>
        <v>12331.416666666666</v>
      </c>
      <c r="V191" s="4">
        <f>147977/12</f>
        <v>12331.416666666666</v>
      </c>
      <c r="W191" s="4">
        <f>152416/12</f>
        <v>12701.333333333334</v>
      </c>
      <c r="X191" s="4">
        <f>152416/12</f>
        <v>12701.333333333334</v>
      </c>
      <c r="Y191" s="4">
        <f>152416/12</f>
        <v>12701.333333333334</v>
      </c>
      <c r="Z191" s="4">
        <f>156989/12</f>
        <v>13082.416666666666</v>
      </c>
      <c r="AA191" s="4">
        <f>156989/12</f>
        <v>13082.416666666666</v>
      </c>
      <c r="AB191" s="4">
        <f>160293/12</f>
        <v>13357.75</v>
      </c>
      <c r="AC191" s="5"/>
    </row>
    <row r="192" spans="1:29" ht="15.5" x14ac:dyDescent="0.35">
      <c r="A192" s="2" t="s">
        <v>398</v>
      </c>
      <c r="B192" s="1" t="s">
        <v>399</v>
      </c>
      <c r="C192" s="4">
        <f>87373/12</f>
        <v>7281.083333333333</v>
      </c>
      <c r="D192" s="4">
        <f>89994/12</f>
        <v>7499.5</v>
      </c>
      <c r="E192" s="4">
        <f>89994/12</f>
        <v>7499.5</v>
      </c>
      <c r="F192" s="4">
        <f>92694/12</f>
        <v>7724.5</v>
      </c>
      <c r="G192" s="4">
        <f>92694/12</f>
        <v>7724.5</v>
      </c>
      <c r="H192" s="4">
        <f>95475/12</f>
        <v>7956.25</v>
      </c>
      <c r="I192" s="4">
        <f>95475/12</f>
        <v>7956.25</v>
      </c>
      <c r="J192" s="4">
        <f>98339/12</f>
        <v>8194.9166666666661</v>
      </c>
      <c r="K192" s="4">
        <f>98339/12</f>
        <v>8194.9166666666661</v>
      </c>
      <c r="L192" s="4">
        <f>98339/12</f>
        <v>8194.9166666666661</v>
      </c>
      <c r="M192" s="4">
        <f>107032/12</f>
        <v>8919.3333333333339</v>
      </c>
      <c r="N192" s="4">
        <f>107032/12</f>
        <v>8919.3333333333339</v>
      </c>
      <c r="O192" s="4">
        <f>110243/12</f>
        <v>9186.9166666666661</v>
      </c>
      <c r="P192" s="4">
        <f>110243/12</f>
        <v>9186.9166666666661</v>
      </c>
      <c r="Q192" s="4">
        <f>110243/12</f>
        <v>9186.9166666666661</v>
      </c>
      <c r="R192" s="4">
        <f>113550/12</f>
        <v>9462.5</v>
      </c>
      <c r="S192" s="4">
        <f>113550/12</f>
        <v>9462.5</v>
      </c>
      <c r="T192" s="4">
        <f>116956/12</f>
        <v>9746.3333333333339</v>
      </c>
      <c r="U192" s="4">
        <f>116956/12</f>
        <v>9746.3333333333339</v>
      </c>
      <c r="V192" s="4">
        <f>116956/12</f>
        <v>9746.3333333333339</v>
      </c>
      <c r="W192" s="4">
        <f>120465/12</f>
        <v>10038.75</v>
      </c>
      <c r="X192" s="4">
        <f>120465/12</f>
        <v>10038.75</v>
      </c>
      <c r="Y192" s="4">
        <f>120465/12</f>
        <v>10038.75</v>
      </c>
      <c r="Z192" s="4">
        <f>124079/12</f>
        <v>10339.916666666666</v>
      </c>
      <c r="AA192" s="4">
        <f>124079/12</f>
        <v>10339.916666666666</v>
      </c>
      <c r="AB192" s="4">
        <f>126691/12</f>
        <v>10557.583333333334</v>
      </c>
      <c r="AC192" s="5" t="s">
        <v>398</v>
      </c>
    </row>
    <row r="193" spans="1:29" ht="15.5" x14ac:dyDescent="0.35">
      <c r="A193" s="2" t="s">
        <v>400</v>
      </c>
      <c r="B193" s="1" t="s">
        <v>401</v>
      </c>
      <c r="C193" s="4">
        <f>41641/12</f>
        <v>3470.0833333333335</v>
      </c>
      <c r="D193" s="4">
        <f>42890/12</f>
        <v>3574.1666666666665</v>
      </c>
      <c r="E193" s="4">
        <f>42890/12</f>
        <v>3574.1666666666665</v>
      </c>
      <c r="F193" s="4">
        <f>44177/12</f>
        <v>3681.4166666666665</v>
      </c>
      <c r="G193" s="4">
        <f>44177/12</f>
        <v>3681.4166666666665</v>
      </c>
      <c r="H193" s="4">
        <f>45502/12</f>
        <v>3791.8333333333335</v>
      </c>
      <c r="I193" s="4">
        <f>45502/12</f>
        <v>3791.8333333333335</v>
      </c>
      <c r="J193" s="4">
        <f>46867/12</f>
        <v>3905.5833333333335</v>
      </c>
      <c r="K193" s="4">
        <f>46867/12</f>
        <v>3905.5833333333335</v>
      </c>
      <c r="L193" s="4">
        <f>46867/12</f>
        <v>3905.5833333333335</v>
      </c>
      <c r="M193" s="4">
        <f>51010/12</f>
        <v>4250.833333333333</v>
      </c>
      <c r="N193" s="4">
        <f>51010/12</f>
        <v>4250.833333333333</v>
      </c>
      <c r="O193" s="4">
        <f>52540/12</f>
        <v>4378.333333333333</v>
      </c>
      <c r="P193" s="4">
        <f>52540/12</f>
        <v>4378.333333333333</v>
      </c>
      <c r="Q193" s="4">
        <f>52540/12</f>
        <v>4378.333333333333</v>
      </c>
      <c r="R193" s="4">
        <f>54117/12</f>
        <v>4509.75</v>
      </c>
      <c r="S193" s="4">
        <f>54117/12</f>
        <v>4509.75</v>
      </c>
      <c r="T193" s="4">
        <f>55740/12</f>
        <v>4645</v>
      </c>
      <c r="U193" s="4">
        <f>55740/12</f>
        <v>4645</v>
      </c>
      <c r="V193" s="4">
        <f>55740/12</f>
        <v>4645</v>
      </c>
      <c r="W193" s="4">
        <f>57412/12</f>
        <v>4784.333333333333</v>
      </c>
      <c r="X193" s="4">
        <f>57412/12</f>
        <v>4784.333333333333</v>
      </c>
      <c r="Y193" s="4">
        <f>57412/12</f>
        <v>4784.333333333333</v>
      </c>
      <c r="Z193" s="4">
        <f>59135/12</f>
        <v>4927.916666666667</v>
      </c>
      <c r="AA193" s="4">
        <f>59135/12</f>
        <v>4927.916666666667</v>
      </c>
      <c r="AB193" s="4">
        <f>60379/12</f>
        <v>5031.583333333333</v>
      </c>
      <c r="AC193" s="5" t="s">
        <v>400</v>
      </c>
    </row>
    <row r="194" spans="1:29" ht="15.5" x14ac:dyDescent="0.35">
      <c r="A194" s="2" t="s">
        <v>402</v>
      </c>
      <c r="B194" s="1" t="s">
        <v>403</v>
      </c>
      <c r="C194" s="4">
        <f>111512/12</f>
        <v>9292.6666666666661</v>
      </c>
      <c r="D194" s="4">
        <f>114857/12</f>
        <v>9571.4166666666661</v>
      </c>
      <c r="E194" s="4">
        <f>114857/12</f>
        <v>9571.4166666666661</v>
      </c>
      <c r="F194" s="4">
        <f>118303/12</f>
        <v>9858.5833333333339</v>
      </c>
      <c r="G194" s="4">
        <f>118303/12</f>
        <v>9858.5833333333339</v>
      </c>
      <c r="H194" s="4">
        <f>121852/12</f>
        <v>10154.333333333334</v>
      </c>
      <c r="I194" s="4">
        <f>121852/12</f>
        <v>10154.333333333334</v>
      </c>
      <c r="J194" s="4">
        <f>125508/12</f>
        <v>10459</v>
      </c>
      <c r="K194" s="4">
        <f>125508/12</f>
        <v>10459</v>
      </c>
      <c r="L194" s="4">
        <f>125508/12</f>
        <v>10459</v>
      </c>
      <c r="M194" s="4">
        <f>136602/12</f>
        <v>11383.5</v>
      </c>
      <c r="N194" s="4">
        <f>136602/12</f>
        <v>11383.5</v>
      </c>
      <c r="O194" s="4">
        <f>140700/12</f>
        <v>11725</v>
      </c>
      <c r="P194" s="4">
        <f>140700/12</f>
        <v>11725</v>
      </c>
      <c r="Q194" s="4">
        <f>140700/12</f>
        <v>11725</v>
      </c>
      <c r="R194" s="4">
        <f>144921/12</f>
        <v>12076.75</v>
      </c>
      <c r="S194" s="4">
        <f>144921/12</f>
        <v>12076.75</v>
      </c>
      <c r="T194" s="4">
        <f>149269/12</f>
        <v>12439.083333333334</v>
      </c>
      <c r="U194" s="4">
        <f>149269/12</f>
        <v>12439.083333333334</v>
      </c>
      <c r="V194" s="4">
        <f>149269/12</f>
        <v>12439.083333333334</v>
      </c>
      <c r="W194" s="4">
        <f>153747/12</f>
        <v>12812.25</v>
      </c>
      <c r="X194" s="4">
        <f>153747/12</f>
        <v>12812.25</v>
      </c>
      <c r="Y194" s="4">
        <f>153747/12</f>
        <v>12812.25</v>
      </c>
      <c r="Z194" s="4">
        <f>158359/12</f>
        <v>13196.583333333334</v>
      </c>
      <c r="AA194" s="4">
        <f>158359/12</f>
        <v>13196.583333333334</v>
      </c>
      <c r="AB194" s="4">
        <f>161692/12</f>
        <v>13474.333333333334</v>
      </c>
      <c r="AC194" s="5" t="s">
        <v>402</v>
      </c>
    </row>
    <row r="195" spans="1:29" ht="15.5" x14ac:dyDescent="0.35">
      <c r="A195" s="11" t="s">
        <v>404</v>
      </c>
      <c r="B195" s="12" t="s">
        <v>405</v>
      </c>
      <c r="C195" s="4">
        <f>52968/12</f>
        <v>4414</v>
      </c>
      <c r="D195" s="4">
        <f>54557/12</f>
        <v>4546.416666666667</v>
      </c>
      <c r="E195" s="4">
        <f>54557/12</f>
        <v>4546.416666666667</v>
      </c>
      <c r="F195" s="4">
        <f>56193/12</f>
        <v>4682.75</v>
      </c>
      <c r="G195" s="4">
        <f>56193/12</f>
        <v>4682.75</v>
      </c>
      <c r="H195" s="4">
        <f>57879/12</f>
        <v>4823.25</v>
      </c>
      <c r="I195" s="4">
        <f>57879/12</f>
        <v>4823.25</v>
      </c>
      <c r="J195" s="4">
        <f>59615/12</f>
        <v>4967.916666666667</v>
      </c>
      <c r="K195" s="4">
        <f>59615/12</f>
        <v>4967.916666666667</v>
      </c>
      <c r="L195" s="4">
        <f>59615/12</f>
        <v>4967.916666666667</v>
      </c>
      <c r="M195" s="4">
        <f>64885/12</f>
        <v>5407.083333333333</v>
      </c>
      <c r="N195" s="4">
        <f>64885/12</f>
        <v>5407.083333333333</v>
      </c>
      <c r="O195" s="4">
        <f>66832/12</f>
        <v>5569.333333333333</v>
      </c>
      <c r="P195" s="4">
        <f>66832/12</f>
        <v>5569.333333333333</v>
      </c>
      <c r="Q195" s="4">
        <f>66832/12</f>
        <v>5569.333333333333</v>
      </c>
      <c r="R195" s="4">
        <f>68837/12</f>
        <v>5736.416666666667</v>
      </c>
      <c r="S195" s="4">
        <f>68837/12</f>
        <v>5736.416666666667</v>
      </c>
      <c r="T195" s="4">
        <f>70902/12</f>
        <v>5908.5</v>
      </c>
      <c r="U195" s="4">
        <f>70902/12</f>
        <v>5908.5</v>
      </c>
      <c r="V195" s="4">
        <f>70902/12</f>
        <v>5908.5</v>
      </c>
      <c r="W195" s="4">
        <f>73029/12</f>
        <v>6085.75</v>
      </c>
      <c r="X195" s="4">
        <f>73029/12</f>
        <v>6085.75</v>
      </c>
      <c r="Y195" s="4">
        <f>73029/12</f>
        <v>6085.75</v>
      </c>
      <c r="Z195" s="4">
        <f>75220/12</f>
        <v>6268.333333333333</v>
      </c>
      <c r="AA195" s="4">
        <f>75220/12</f>
        <v>6268.333333333333</v>
      </c>
      <c r="AB195" s="4">
        <f>76803/12</f>
        <v>6400.25</v>
      </c>
      <c r="AC195" s="17" t="s">
        <v>406</v>
      </c>
    </row>
    <row r="196" spans="1:29" ht="15.5" x14ac:dyDescent="0.35">
      <c r="A196" s="2" t="s">
        <v>407</v>
      </c>
      <c r="B196" s="1" t="s">
        <v>408</v>
      </c>
      <c r="C196" s="4">
        <f>76101/12</f>
        <v>6341.75</v>
      </c>
      <c r="D196" s="4">
        <f>78384.03/12</f>
        <v>6532.0024999999996</v>
      </c>
      <c r="E196" s="4">
        <f>78384.03/12</f>
        <v>6532.0024999999996</v>
      </c>
      <c r="F196" s="4">
        <f>80735.55/12</f>
        <v>6727.9625000000005</v>
      </c>
      <c r="G196" s="4">
        <f>80735.55/12</f>
        <v>6727.9625000000005</v>
      </c>
      <c r="H196" s="4">
        <f>83157.62/12</f>
        <v>6929.8016666666663</v>
      </c>
      <c r="I196" s="4">
        <f>83157.62/12</f>
        <v>6929.8016666666663</v>
      </c>
      <c r="J196" s="4">
        <f>85652.35/12</f>
        <v>7137.6958333333341</v>
      </c>
      <c r="K196" s="4">
        <f>85652.35/12</f>
        <v>7137.6958333333341</v>
      </c>
      <c r="L196" s="4">
        <f>85652.35/12</f>
        <v>7137.6958333333341</v>
      </c>
      <c r="M196" s="4">
        <f>93223.73/12</f>
        <v>7768.644166666666</v>
      </c>
      <c r="N196" s="4">
        <f>93223.73/12</f>
        <v>7768.644166666666</v>
      </c>
      <c r="O196" s="4">
        <f>96020.44/12</f>
        <v>8001.7033333333338</v>
      </c>
      <c r="P196" s="4">
        <f>96020.44/12</f>
        <v>8001.7033333333338</v>
      </c>
      <c r="Q196" s="4">
        <f>96020.44/12</f>
        <v>8001.7033333333338</v>
      </c>
      <c r="R196" s="4">
        <f>98901.05/12</f>
        <v>8241.7541666666675</v>
      </c>
      <c r="S196" s="4">
        <f>98901.05/12</f>
        <v>8241.7541666666675</v>
      </c>
      <c r="T196" s="4">
        <f>101868.08/12</f>
        <v>8489.0066666666662</v>
      </c>
      <c r="U196" s="4">
        <f>101868.08/12</f>
        <v>8489.0066666666662</v>
      </c>
      <c r="V196" s="4">
        <f>101868.08/12</f>
        <v>8489.0066666666662</v>
      </c>
      <c r="W196" s="4">
        <f>104924.12/12</f>
        <v>8743.6766666666663</v>
      </c>
      <c r="X196" s="4">
        <f>104924.12/12</f>
        <v>8743.6766666666663</v>
      </c>
      <c r="Y196" s="4">
        <f>108071.85/12</f>
        <v>9005.9875000000011</v>
      </c>
      <c r="Z196" s="4">
        <f>108071.85/12</f>
        <v>9005.9875000000011</v>
      </c>
      <c r="AA196" s="4">
        <f>108071.85/12</f>
        <v>9005.9875000000011</v>
      </c>
      <c r="AB196" s="4">
        <f>110346.45/12</f>
        <v>9195.5375000000004</v>
      </c>
      <c r="AC196" s="5" t="s">
        <v>407</v>
      </c>
    </row>
    <row r="197" spans="1:29" ht="15.5" x14ac:dyDescent="0.35">
      <c r="A197" s="2" t="s">
        <v>409</v>
      </c>
      <c r="B197" s="1" t="s">
        <v>410</v>
      </c>
      <c r="C197" s="4">
        <f>103317/12</f>
        <v>8609.75</v>
      </c>
      <c r="D197" s="4">
        <f>106417/12</f>
        <v>8868.0833333333339</v>
      </c>
      <c r="E197" s="4">
        <f>106417/12</f>
        <v>8868.0833333333339</v>
      </c>
      <c r="F197" s="4">
        <f>109609/12</f>
        <v>9134.0833333333339</v>
      </c>
      <c r="G197" s="4">
        <f>109609/12</f>
        <v>9134.0833333333339</v>
      </c>
      <c r="H197" s="4">
        <f>112898/12</f>
        <v>9408.1666666666661</v>
      </c>
      <c r="I197" s="4">
        <f>112898/12</f>
        <v>9408.1666666666661</v>
      </c>
      <c r="J197" s="4">
        <f>116284/12</f>
        <v>9690.3333333333339</v>
      </c>
      <c r="K197" s="4">
        <f>116284/12</f>
        <v>9690.3333333333339</v>
      </c>
      <c r="L197" s="4">
        <f>116284/12</f>
        <v>9690.3333333333339</v>
      </c>
      <c r="M197" s="4">
        <f>126564/12</f>
        <v>10547</v>
      </c>
      <c r="N197" s="4">
        <f>126564/12</f>
        <v>10547</v>
      </c>
      <c r="O197" s="4">
        <f>130361/12</f>
        <v>10863.416666666666</v>
      </c>
      <c r="P197" s="4">
        <f>130361/12</f>
        <v>10863.416666666666</v>
      </c>
      <c r="Q197" s="4">
        <f>130361/12</f>
        <v>10863.416666666666</v>
      </c>
      <c r="R197" s="4">
        <f>134271/12</f>
        <v>11189.25</v>
      </c>
      <c r="S197" s="4">
        <f>134271/12</f>
        <v>11189.25</v>
      </c>
      <c r="T197" s="4">
        <f>138299/12</f>
        <v>11524.916666666666</v>
      </c>
      <c r="U197" s="4">
        <f>138299/12</f>
        <v>11524.916666666666</v>
      </c>
      <c r="V197" s="4">
        <f>138299/12</f>
        <v>11524.916666666666</v>
      </c>
      <c r="W197" s="4">
        <f>142448/12</f>
        <v>11870.666666666666</v>
      </c>
      <c r="X197" s="4">
        <f>142448/12</f>
        <v>11870.666666666666</v>
      </c>
      <c r="Y197" s="4">
        <f>142448/12</f>
        <v>11870.666666666666</v>
      </c>
      <c r="Z197" s="4">
        <f>146722/12</f>
        <v>12226.833333333334</v>
      </c>
      <c r="AA197" s="4">
        <f>146722/12</f>
        <v>12226.833333333334</v>
      </c>
      <c r="AB197" s="4">
        <f>149810/12</f>
        <v>12484.166666666666</v>
      </c>
      <c r="AC197" s="5" t="s">
        <v>409</v>
      </c>
    </row>
    <row r="198" spans="1:29" ht="15.5" x14ac:dyDescent="0.35">
      <c r="A198" s="14" t="s">
        <v>518</v>
      </c>
      <c r="B198" s="15" t="s">
        <v>519</v>
      </c>
      <c r="C198" s="4">
        <f>76101/12</f>
        <v>6341.75</v>
      </c>
      <c r="D198" s="4">
        <f>78384.03/12</f>
        <v>6532.0024999999996</v>
      </c>
      <c r="E198" s="4">
        <f>78384.03/12</f>
        <v>6532.0024999999996</v>
      </c>
      <c r="F198" s="4">
        <f>80735.55/12</f>
        <v>6727.9625000000005</v>
      </c>
      <c r="G198" s="4">
        <f>80735.55/12</f>
        <v>6727.9625000000005</v>
      </c>
      <c r="H198" s="4">
        <f>83157.62/12</f>
        <v>6929.8016666666663</v>
      </c>
      <c r="I198" s="4">
        <f>83157.62/12</f>
        <v>6929.8016666666663</v>
      </c>
      <c r="J198" s="4">
        <f>85652.35/12</f>
        <v>7137.6958333333341</v>
      </c>
      <c r="K198" s="4">
        <f>85652.35/12</f>
        <v>7137.6958333333341</v>
      </c>
      <c r="L198" s="4">
        <f>85652.35/12</f>
        <v>7137.6958333333341</v>
      </c>
      <c r="M198" s="4">
        <f>93223.73/12</f>
        <v>7768.644166666666</v>
      </c>
      <c r="N198" s="4">
        <f>93223.73/12</f>
        <v>7768.644166666666</v>
      </c>
      <c r="O198" s="4">
        <f>96020.44/12</f>
        <v>8001.7033333333338</v>
      </c>
      <c r="P198" s="4">
        <f>96020.44/12</f>
        <v>8001.7033333333338</v>
      </c>
      <c r="Q198" s="4">
        <f>96020.44/12</f>
        <v>8001.7033333333338</v>
      </c>
      <c r="R198" s="4">
        <f>98901.05/12</f>
        <v>8241.7541666666675</v>
      </c>
      <c r="S198" s="4">
        <f>98901.05/12</f>
        <v>8241.7541666666675</v>
      </c>
      <c r="T198" s="4">
        <f>101868.08/12</f>
        <v>8489.0066666666662</v>
      </c>
      <c r="U198" s="4">
        <f>101868.08/12</f>
        <v>8489.0066666666662</v>
      </c>
      <c r="V198" s="4">
        <f>101868.08/12</f>
        <v>8489.0066666666662</v>
      </c>
      <c r="W198" s="4">
        <f>104924.12/12</f>
        <v>8743.6766666666663</v>
      </c>
      <c r="X198" s="4">
        <f>104924.12/12</f>
        <v>8743.6766666666663</v>
      </c>
      <c r="Y198" s="4">
        <f>108071.85/12</f>
        <v>9005.9875000000011</v>
      </c>
      <c r="Z198" s="4">
        <f>108071.85/12</f>
        <v>9005.9875000000011</v>
      </c>
      <c r="AA198" s="4">
        <f>108071.85/12</f>
        <v>9005.9875000000011</v>
      </c>
      <c r="AB198" s="4">
        <f>110346.45/12</f>
        <v>9195.5375000000004</v>
      </c>
      <c r="AC198" s="16" t="s">
        <v>514</v>
      </c>
    </row>
    <row r="199" spans="1:29" ht="15.5" x14ac:dyDescent="0.35">
      <c r="A199" s="2" t="s">
        <v>411</v>
      </c>
      <c r="B199" s="1" t="s">
        <v>412</v>
      </c>
      <c r="C199" s="4">
        <f>68895/12</f>
        <v>5741.25</v>
      </c>
      <c r="D199" s="4">
        <f>70961/12</f>
        <v>5913.416666666667</v>
      </c>
      <c r="E199" s="4">
        <f>70961/12</f>
        <v>5913.416666666667</v>
      </c>
      <c r="F199" s="4">
        <f>73090/12</f>
        <v>6090.833333333333</v>
      </c>
      <c r="G199" s="4">
        <f>73090/12</f>
        <v>6090.833333333333</v>
      </c>
      <c r="H199" s="4">
        <f>75283/12</f>
        <v>6273.583333333333</v>
      </c>
      <c r="I199" s="4">
        <f>75283/12</f>
        <v>6273.583333333333</v>
      </c>
      <c r="J199" s="4">
        <f>77542/12</f>
        <v>6461.833333333333</v>
      </c>
      <c r="K199" s="4">
        <f>77542/12</f>
        <v>6461.833333333333</v>
      </c>
      <c r="L199" s="4">
        <f>77542/12</f>
        <v>6461.833333333333</v>
      </c>
      <c r="M199" s="4">
        <f>86257/12</f>
        <v>7188.083333333333</v>
      </c>
      <c r="N199" s="4">
        <f>86257/12</f>
        <v>7188.083333333333</v>
      </c>
      <c r="O199" s="4">
        <f>88845/12</f>
        <v>7403.75</v>
      </c>
      <c r="P199" s="4">
        <f>88845/12</f>
        <v>7403.75</v>
      </c>
      <c r="Q199" s="4">
        <f>88845/12</f>
        <v>7403.75</v>
      </c>
      <c r="R199" s="4">
        <f>91510/12</f>
        <v>7625.833333333333</v>
      </c>
      <c r="S199" s="4">
        <f>91510/12</f>
        <v>7625.833333333333</v>
      </c>
      <c r="T199" s="4">
        <f>94256/12</f>
        <v>7854.666666666667</v>
      </c>
      <c r="U199" s="4">
        <f>94256/12</f>
        <v>7854.666666666667</v>
      </c>
      <c r="V199" s="4">
        <f>94256/12</f>
        <v>7854.666666666667</v>
      </c>
      <c r="W199" s="4">
        <f>97083/12</f>
        <v>8090.25</v>
      </c>
      <c r="X199" s="4">
        <f>97083/12</f>
        <v>8090.25</v>
      </c>
      <c r="Y199" s="4">
        <f>97083/12</f>
        <v>8090.25</v>
      </c>
      <c r="Z199" s="4">
        <f>99996/12</f>
        <v>8333</v>
      </c>
      <c r="AA199" s="4">
        <f>99996/12</f>
        <v>8333</v>
      </c>
      <c r="AB199" s="4">
        <f>103620/12</f>
        <v>8635</v>
      </c>
      <c r="AC199" s="5" t="s">
        <v>411</v>
      </c>
    </row>
    <row r="200" spans="1:29" ht="15.5" x14ac:dyDescent="0.35">
      <c r="A200" s="2" t="s">
        <v>413</v>
      </c>
      <c r="B200" s="1" t="s">
        <v>414</v>
      </c>
      <c r="C200" s="4">
        <f>98509/12</f>
        <v>8209.0833333333339</v>
      </c>
      <c r="D200" s="4">
        <f>101464/12</f>
        <v>8455.3333333333339</v>
      </c>
      <c r="E200" s="4">
        <f>101464/12</f>
        <v>8455.3333333333339</v>
      </c>
      <c r="F200" s="4">
        <f>104508/12</f>
        <v>8709</v>
      </c>
      <c r="G200" s="4">
        <f>104508/12</f>
        <v>8709</v>
      </c>
      <c r="H200" s="4">
        <f>107644/12</f>
        <v>8970.3333333333339</v>
      </c>
      <c r="I200" s="4">
        <f>107644/12</f>
        <v>8970.3333333333339</v>
      </c>
      <c r="J200" s="4">
        <f>110873/12</f>
        <v>9239.4166666666661</v>
      </c>
      <c r="K200" s="4">
        <f>110873/12</f>
        <v>9239.4166666666661</v>
      </c>
      <c r="L200" s="4">
        <f>110873/12</f>
        <v>9239.4166666666661</v>
      </c>
      <c r="M200" s="4">
        <f>120674/12</f>
        <v>10056.166666666666</v>
      </c>
      <c r="N200" s="4">
        <f>120674/12</f>
        <v>10056.166666666666</v>
      </c>
      <c r="O200" s="4">
        <f>124294/12</f>
        <v>10357.833333333334</v>
      </c>
      <c r="P200" s="4">
        <f>124294/12</f>
        <v>10357.833333333334</v>
      </c>
      <c r="Q200" s="4">
        <f>124294/12</f>
        <v>10357.833333333334</v>
      </c>
      <c r="R200" s="4">
        <f>128023/12</f>
        <v>10668.583333333334</v>
      </c>
      <c r="S200" s="4">
        <f>128023/12</f>
        <v>10668.583333333334</v>
      </c>
      <c r="T200" s="4">
        <f>131863/12</f>
        <v>10988.583333333334</v>
      </c>
      <c r="U200" s="4">
        <f>131863/12</f>
        <v>10988.583333333334</v>
      </c>
      <c r="V200" s="4">
        <f>131863/12</f>
        <v>10988.583333333334</v>
      </c>
      <c r="W200" s="4">
        <f>135819/12</f>
        <v>11318.25</v>
      </c>
      <c r="X200" s="4">
        <f>135819/12</f>
        <v>11318.25</v>
      </c>
      <c r="Y200" s="4">
        <f>135819/12</f>
        <v>11318.25</v>
      </c>
      <c r="Z200" s="4">
        <f>139894/12</f>
        <v>11657.833333333334</v>
      </c>
      <c r="AA200" s="4">
        <f>139894/12</f>
        <v>11657.833333333334</v>
      </c>
      <c r="AB200" s="4">
        <f>142838/12</f>
        <v>11903.166666666666</v>
      </c>
      <c r="AC200" s="5" t="s">
        <v>413</v>
      </c>
    </row>
    <row r="201" spans="1:29" ht="15.5" x14ac:dyDescent="0.35">
      <c r="A201" s="2" t="s">
        <v>513</v>
      </c>
      <c r="B201" s="1" t="s">
        <v>515</v>
      </c>
      <c r="C201" s="4">
        <f>88086/12</f>
        <v>7340.5</v>
      </c>
      <c r="D201" s="4">
        <f>90729/12</f>
        <v>7560.75</v>
      </c>
      <c r="E201" s="4">
        <f>90729/12</f>
        <v>7560.75</v>
      </c>
      <c r="F201" s="4">
        <f>93450/12</f>
        <v>7787.5</v>
      </c>
      <c r="G201" s="4">
        <f>93450/12</f>
        <v>7787.5</v>
      </c>
      <c r="H201" s="4">
        <f>96254/12</f>
        <v>8021.166666666667</v>
      </c>
      <c r="I201" s="4">
        <f>96254/12</f>
        <v>8021.166666666667</v>
      </c>
      <c r="J201" s="4">
        <f>99142/12</f>
        <v>8261.8333333333339</v>
      </c>
      <c r="K201" s="4">
        <f>99142/12</f>
        <v>8261.8333333333339</v>
      </c>
      <c r="L201" s="4">
        <f>99142/12</f>
        <v>8261.8333333333339</v>
      </c>
      <c r="M201" s="4">
        <f>107905/12</f>
        <v>8992.0833333333339</v>
      </c>
      <c r="N201" s="4">
        <f>107905/12</f>
        <v>8992.0833333333339</v>
      </c>
      <c r="O201" s="4">
        <f>111143/12</f>
        <v>9261.9166666666661</v>
      </c>
      <c r="P201" s="4">
        <f>111143/12</f>
        <v>9261.9166666666661</v>
      </c>
      <c r="Q201" s="4">
        <f>111143/12</f>
        <v>9261.9166666666661</v>
      </c>
      <c r="R201" s="4">
        <f>114477/12</f>
        <v>9539.75</v>
      </c>
      <c r="S201" s="4">
        <f>114477/12</f>
        <v>9539.75</v>
      </c>
      <c r="T201" s="4">
        <f>117911/12</f>
        <v>9825.9166666666661</v>
      </c>
      <c r="U201" s="4">
        <f>117911/12</f>
        <v>9825.9166666666661</v>
      </c>
      <c r="V201" s="4">
        <f>117911/12</f>
        <v>9825.9166666666661</v>
      </c>
      <c r="W201" s="4">
        <f>121448/12</f>
        <v>10120.666666666666</v>
      </c>
      <c r="X201" s="4">
        <f>121448/12</f>
        <v>10120.666666666666</v>
      </c>
      <c r="Y201" s="4">
        <f>121448/12</f>
        <v>10120.666666666666</v>
      </c>
      <c r="Z201" s="4">
        <f>125092/12</f>
        <v>10424.333333333334</v>
      </c>
      <c r="AA201" s="4">
        <f>125092/12</f>
        <v>10424.333333333334</v>
      </c>
      <c r="AB201" s="4">
        <f>127725/12</f>
        <v>10643.75</v>
      </c>
      <c r="AC201" s="5" t="s">
        <v>514</v>
      </c>
    </row>
    <row r="202" spans="1:29" ht="15.5" x14ac:dyDescent="0.35">
      <c r="A202" s="2" t="s">
        <v>415</v>
      </c>
      <c r="B202" s="1" t="s">
        <v>416</v>
      </c>
      <c r="C202" s="4">
        <f>70909/12</f>
        <v>5909.083333333333</v>
      </c>
      <c r="D202" s="4">
        <f>73037/12</f>
        <v>6086.416666666667</v>
      </c>
      <c r="E202" s="4">
        <f>73037/12</f>
        <v>6086.416666666667</v>
      </c>
      <c r="F202" s="4">
        <f>75228/12</f>
        <v>6269</v>
      </c>
      <c r="G202" s="4">
        <f>75228/12</f>
        <v>6269</v>
      </c>
      <c r="H202" s="4">
        <f>77485/12</f>
        <v>6457.083333333333</v>
      </c>
      <c r="I202" s="4">
        <f>77485/12</f>
        <v>6457.083333333333</v>
      </c>
      <c r="J202" s="4">
        <f>79809/12</f>
        <v>6650.75</v>
      </c>
      <c r="K202" s="4">
        <f>79809/12</f>
        <v>6650.75</v>
      </c>
      <c r="L202" s="4">
        <f>79809/12</f>
        <v>6650.75</v>
      </c>
      <c r="M202" s="4">
        <f>86864/12</f>
        <v>7238.666666666667</v>
      </c>
      <c r="N202" s="4">
        <f>86864/12</f>
        <v>7238.666666666667</v>
      </c>
      <c r="O202" s="4">
        <f>89470/12</f>
        <v>7455.833333333333</v>
      </c>
      <c r="P202" s="4">
        <f>89470/12</f>
        <v>7455.833333333333</v>
      </c>
      <c r="Q202" s="4">
        <f>89470/12</f>
        <v>7455.833333333333</v>
      </c>
      <c r="R202" s="4">
        <f>92154/12</f>
        <v>7679.5</v>
      </c>
      <c r="S202" s="4">
        <f>92154/12</f>
        <v>7679.5</v>
      </c>
      <c r="T202" s="4">
        <f>94919/12</f>
        <v>7909.916666666667</v>
      </c>
      <c r="U202" s="4">
        <f>94919/12</f>
        <v>7909.916666666667</v>
      </c>
      <c r="V202" s="4">
        <f>94919/12</f>
        <v>7909.916666666667</v>
      </c>
      <c r="W202" s="4">
        <f>97766/12</f>
        <v>8147.166666666667</v>
      </c>
      <c r="X202" s="4">
        <f>97766/12</f>
        <v>8147.166666666667</v>
      </c>
      <c r="Y202" s="4">
        <f>97766/12</f>
        <v>8147.166666666667</v>
      </c>
      <c r="Z202" s="4">
        <f>100699/12</f>
        <v>8391.5833333333339</v>
      </c>
      <c r="AA202" s="4">
        <f>100699/12</f>
        <v>8391.5833333333339</v>
      </c>
      <c r="AB202" s="4">
        <f>102819/12</f>
        <v>8568.25</v>
      </c>
      <c r="AC202" s="5" t="s">
        <v>415</v>
      </c>
    </row>
    <row r="203" spans="1:29" ht="15.5" x14ac:dyDescent="0.35">
      <c r="A203" s="2" t="s">
        <v>417</v>
      </c>
      <c r="B203" s="1" t="s">
        <v>418</v>
      </c>
      <c r="C203" s="4">
        <f>78325/12</f>
        <v>6527.083333333333</v>
      </c>
      <c r="D203" s="4">
        <f>80675/12</f>
        <v>6722.916666666667</v>
      </c>
      <c r="E203" s="4">
        <f>80675/12</f>
        <v>6722.916666666667</v>
      </c>
      <c r="F203" s="4">
        <f>83095/12</f>
        <v>6924.583333333333</v>
      </c>
      <c r="G203" s="4">
        <f>83095/12</f>
        <v>6924.583333333333</v>
      </c>
      <c r="H203" s="4">
        <f>85588/12</f>
        <v>7132.333333333333</v>
      </c>
      <c r="I203" s="4">
        <f>85588/12</f>
        <v>7132.333333333333</v>
      </c>
      <c r="J203" s="4">
        <f>88156/12</f>
        <v>7346.333333333333</v>
      </c>
      <c r="K203" s="4">
        <f>88156/12</f>
        <v>7346.333333333333</v>
      </c>
      <c r="L203" s="4">
        <f>88156/12</f>
        <v>7346.333333333333</v>
      </c>
      <c r="M203" s="4">
        <f>95949/12</f>
        <v>7995.75</v>
      </c>
      <c r="N203" s="4">
        <f>95949/12</f>
        <v>7995.75</v>
      </c>
      <c r="O203" s="4">
        <f>98827/12</f>
        <v>8235.5833333333339</v>
      </c>
      <c r="P203" s="4">
        <f>98827/12</f>
        <v>8235.5833333333339</v>
      </c>
      <c r="Q203" s="4">
        <f>98827/12</f>
        <v>8235.5833333333339</v>
      </c>
      <c r="R203" s="4">
        <f>101792/12</f>
        <v>8482.6666666666661</v>
      </c>
      <c r="S203" s="4">
        <f>101792/12</f>
        <v>8482.6666666666661</v>
      </c>
      <c r="T203" s="4">
        <f>104846/12</f>
        <v>8737.1666666666661</v>
      </c>
      <c r="U203" s="4">
        <f>104846/12</f>
        <v>8737.1666666666661</v>
      </c>
      <c r="V203" s="4">
        <f>104846/12</f>
        <v>8737.1666666666661</v>
      </c>
      <c r="W203" s="4">
        <f>107991/12</f>
        <v>8999.25</v>
      </c>
      <c r="X203" s="4">
        <f>107991/12</f>
        <v>8999.25</v>
      </c>
      <c r="Y203" s="4">
        <f>107991/12</f>
        <v>8999.25</v>
      </c>
      <c r="Z203" s="4">
        <f>111231/12</f>
        <v>9269.25</v>
      </c>
      <c r="AA203" s="4">
        <f>111231/12</f>
        <v>9269.25</v>
      </c>
      <c r="AB203" s="4">
        <f>113572/12</f>
        <v>9464.3333333333339</v>
      </c>
      <c r="AC203" s="5" t="s">
        <v>417</v>
      </c>
    </row>
    <row r="204" spans="1:29" ht="15.5" x14ac:dyDescent="0.35">
      <c r="A204" s="2" t="s">
        <v>419</v>
      </c>
      <c r="B204" s="1" t="s">
        <v>420</v>
      </c>
      <c r="C204" s="4">
        <f>101340/12</f>
        <v>8445</v>
      </c>
      <c r="D204" s="4">
        <f>104380/12</f>
        <v>8698.3333333333339</v>
      </c>
      <c r="E204" s="4">
        <f>104380/12</f>
        <v>8698.3333333333339</v>
      </c>
      <c r="F204" s="4">
        <f>107511/12</f>
        <v>8959.25</v>
      </c>
      <c r="G204" s="4">
        <f>107511/12</f>
        <v>8959.25</v>
      </c>
      <c r="H204" s="4">
        <f>110737/12</f>
        <v>9228.0833333333339</v>
      </c>
      <c r="I204" s="4">
        <f>110737/12</f>
        <v>9228.0833333333339</v>
      </c>
      <c r="J204" s="4">
        <f>114059/12</f>
        <v>9504.9166666666661</v>
      </c>
      <c r="K204" s="4">
        <f>114059/12</f>
        <v>9504.9166666666661</v>
      </c>
      <c r="L204" s="4">
        <f>114059/12</f>
        <v>9504.9166666666661</v>
      </c>
      <c r="M204" s="4">
        <f>124141/12</f>
        <v>10345.083333333334</v>
      </c>
      <c r="N204" s="4">
        <f>124141/12</f>
        <v>10345.083333333334</v>
      </c>
      <c r="O204" s="4">
        <f>127865/12</f>
        <v>10655.416666666666</v>
      </c>
      <c r="P204" s="4">
        <f>127865/12</f>
        <v>10655.416666666666</v>
      </c>
      <c r="Q204" s="4">
        <f>127865/12</f>
        <v>10655.416666666666</v>
      </c>
      <c r="R204" s="4">
        <f>131701/12</f>
        <v>10975.083333333334</v>
      </c>
      <c r="S204" s="4">
        <f>131701/12</f>
        <v>10975.083333333334</v>
      </c>
      <c r="T204" s="4">
        <f>135652/12</f>
        <v>11304.333333333334</v>
      </c>
      <c r="U204" s="4">
        <f>135652/12</f>
        <v>11304.333333333334</v>
      </c>
      <c r="V204" s="4">
        <f>135652/12</f>
        <v>11304.333333333334</v>
      </c>
      <c r="W204" s="4">
        <f>139722/12</f>
        <v>11643.5</v>
      </c>
      <c r="X204" s="4">
        <f>139722/12</f>
        <v>11643.5</v>
      </c>
      <c r="Y204" s="4">
        <f>139722/12</f>
        <v>11643.5</v>
      </c>
      <c r="Z204" s="4">
        <f>143914/12</f>
        <v>11992.833333333334</v>
      </c>
      <c r="AA204" s="4">
        <f>143914/12</f>
        <v>11992.833333333334</v>
      </c>
      <c r="AB204" s="4">
        <f>146942/12</f>
        <v>12245.166666666666</v>
      </c>
      <c r="AC204" s="5" t="s">
        <v>419</v>
      </c>
    </row>
    <row r="205" spans="1:29" ht="15.5" x14ac:dyDescent="0.35">
      <c r="A205" s="2" t="s">
        <v>421</v>
      </c>
      <c r="B205" s="1" t="s">
        <v>422</v>
      </c>
      <c r="C205" s="4">
        <f>116394/12</f>
        <v>9699.5</v>
      </c>
      <c r="D205" s="4">
        <f>119886/12</f>
        <v>9990.5</v>
      </c>
      <c r="E205" s="4">
        <f>119886/12</f>
        <v>9990.5</v>
      </c>
      <c r="F205" s="4">
        <f>123483/12</f>
        <v>10290.25</v>
      </c>
      <c r="G205" s="4">
        <f>123483/12</f>
        <v>10290.25</v>
      </c>
      <c r="H205" s="4">
        <f>127187/12</f>
        <v>10598.916666666666</v>
      </c>
      <c r="I205" s="4">
        <f>127187/12</f>
        <v>10598.916666666666</v>
      </c>
      <c r="J205" s="4">
        <f>131003/12</f>
        <v>10916.916666666666</v>
      </c>
      <c r="K205" s="4">
        <f>131003/12</f>
        <v>10916.916666666666</v>
      </c>
      <c r="L205" s="4">
        <f>131003/12</f>
        <v>10916.916666666666</v>
      </c>
      <c r="M205" s="4">
        <f>142583/12</f>
        <v>11881.916666666666</v>
      </c>
      <c r="N205" s="4">
        <f>142583/12</f>
        <v>11881.916666666666</v>
      </c>
      <c r="O205" s="4">
        <f>146860/12</f>
        <v>12238.333333333334</v>
      </c>
      <c r="P205" s="4">
        <f>146860/12</f>
        <v>12238.333333333334</v>
      </c>
      <c r="Q205" s="4">
        <f>146860/12</f>
        <v>12238.333333333334</v>
      </c>
      <c r="R205" s="4">
        <f>151266/12</f>
        <v>12605.5</v>
      </c>
      <c r="S205" s="4">
        <f>151266/12</f>
        <v>12605.5</v>
      </c>
      <c r="T205" s="4">
        <f>155804/12</f>
        <v>12983.666666666666</v>
      </c>
      <c r="U205" s="4">
        <f>155804/12</f>
        <v>12983.666666666666</v>
      </c>
      <c r="V205" s="4">
        <f>155804/12</f>
        <v>12983.666666666666</v>
      </c>
      <c r="W205" s="4">
        <f>160478/12</f>
        <v>13373.166666666666</v>
      </c>
      <c r="X205" s="4">
        <f>160478/12</f>
        <v>13373.166666666666</v>
      </c>
      <c r="Y205" s="4">
        <f>160478/12</f>
        <v>13373.166666666666</v>
      </c>
      <c r="Z205" s="4">
        <f>165293/12</f>
        <v>13774.416666666666</v>
      </c>
      <c r="AA205" s="4">
        <f>165293/12</f>
        <v>13774.416666666666</v>
      </c>
      <c r="AB205" s="4">
        <f>168771/12</f>
        <v>14064.25</v>
      </c>
      <c r="AC205" s="5" t="s">
        <v>421</v>
      </c>
    </row>
    <row r="206" spans="1:29" ht="15.5" x14ac:dyDescent="0.35">
      <c r="A206" s="2" t="s">
        <v>529</v>
      </c>
      <c r="B206" s="1" t="s">
        <v>530</v>
      </c>
      <c r="C206" s="4">
        <f>44607/12</f>
        <v>3717.25</v>
      </c>
      <c r="D206" s="4">
        <f>45945/12</f>
        <v>3828.75</v>
      </c>
      <c r="E206" s="4">
        <f>45945/12</f>
        <v>3828.75</v>
      </c>
      <c r="F206" s="4">
        <f>47324/12</f>
        <v>3943.6666666666665</v>
      </c>
      <c r="G206" s="4">
        <f>47324/12</f>
        <v>3943.6666666666665</v>
      </c>
      <c r="H206" s="4">
        <f>48743/12</f>
        <v>4061.9166666666665</v>
      </c>
      <c r="I206" s="4">
        <f>48743/12</f>
        <v>4061.9166666666665</v>
      </c>
      <c r="J206" s="4">
        <f>50206/12</f>
        <v>4183.833333333333</v>
      </c>
      <c r="K206" s="4">
        <f>50206/12</f>
        <v>4183.833333333333</v>
      </c>
      <c r="L206" s="4">
        <f>50206/12</f>
        <v>4183.833333333333</v>
      </c>
      <c r="M206" s="4">
        <f>54644/12</f>
        <v>4553.666666666667</v>
      </c>
      <c r="N206" s="4">
        <f>54644/12</f>
        <v>4553.666666666667</v>
      </c>
      <c r="O206" s="4">
        <f>56283/12</f>
        <v>4690.25</v>
      </c>
      <c r="P206" s="4">
        <f>56283/12</f>
        <v>4690.25</v>
      </c>
      <c r="Q206" s="4">
        <f>56283/12</f>
        <v>4690.25</v>
      </c>
      <c r="R206" s="4">
        <f>57971/12</f>
        <v>4830.916666666667</v>
      </c>
      <c r="S206" s="4">
        <f>57971/12</f>
        <v>4830.916666666667</v>
      </c>
      <c r="T206" s="4">
        <f>59711/12</f>
        <v>4975.916666666667</v>
      </c>
      <c r="U206" s="4">
        <f>59711/12</f>
        <v>4975.916666666667</v>
      </c>
      <c r="V206" s="4">
        <f>59711/12</f>
        <v>4975.916666666667</v>
      </c>
      <c r="W206" s="4">
        <f>61502/12</f>
        <v>5125.166666666667</v>
      </c>
      <c r="X206" s="4">
        <f>61502/12</f>
        <v>5125.166666666667</v>
      </c>
      <c r="Y206" s="4">
        <f>61502/12</f>
        <v>5125.166666666667</v>
      </c>
      <c r="Z206" s="4">
        <f>63347/12</f>
        <v>5278.916666666667</v>
      </c>
      <c r="AA206" s="4">
        <f>63347/12</f>
        <v>5278.916666666667</v>
      </c>
      <c r="AB206" s="4">
        <f>64680/12</f>
        <v>5390</v>
      </c>
      <c r="AC206" s="5" t="s">
        <v>514</v>
      </c>
    </row>
    <row r="207" spans="1:29" ht="15.5" x14ac:dyDescent="0.35">
      <c r="A207" s="2" t="s">
        <v>423</v>
      </c>
      <c r="B207" s="1" t="s">
        <v>424</v>
      </c>
      <c r="C207" s="4">
        <f>54001/12</f>
        <v>4500.083333333333</v>
      </c>
      <c r="D207" s="4">
        <f>55621/12</f>
        <v>4635.083333333333</v>
      </c>
      <c r="E207" s="4">
        <f>55621/12</f>
        <v>4635.083333333333</v>
      </c>
      <c r="F207" s="4">
        <f>57289/12</f>
        <v>4774.083333333333</v>
      </c>
      <c r="G207" s="4">
        <f>57289/12</f>
        <v>4774.083333333333</v>
      </c>
      <c r="H207" s="4">
        <f>59008/12</f>
        <v>4917.333333333333</v>
      </c>
      <c r="I207" s="4">
        <f>59008/12</f>
        <v>4917.333333333333</v>
      </c>
      <c r="J207" s="4">
        <f>60778/12</f>
        <v>5064.833333333333</v>
      </c>
      <c r="K207" s="4">
        <f>60778/12</f>
        <v>5064.833333333333</v>
      </c>
      <c r="L207" s="4">
        <f>60778/12</f>
        <v>5064.833333333333</v>
      </c>
      <c r="M207" s="4">
        <f>66151/12</f>
        <v>5512.583333333333</v>
      </c>
      <c r="N207" s="4">
        <f>66151/12</f>
        <v>5512.583333333333</v>
      </c>
      <c r="O207" s="4">
        <f>68136/12</f>
        <v>5678</v>
      </c>
      <c r="P207" s="4">
        <f>68136/12</f>
        <v>5678</v>
      </c>
      <c r="Q207" s="4">
        <f>68136/12</f>
        <v>5678</v>
      </c>
      <c r="R207" s="4">
        <f>70180/12</f>
        <v>5848.333333333333</v>
      </c>
      <c r="S207" s="4">
        <f>70180/12</f>
        <v>5848.333333333333</v>
      </c>
      <c r="T207" s="4">
        <f>72285/12</f>
        <v>6023.75</v>
      </c>
      <c r="U207" s="4">
        <f>72285/12</f>
        <v>6023.75</v>
      </c>
      <c r="V207" s="4">
        <f>72285/12</f>
        <v>6023.75</v>
      </c>
      <c r="W207" s="4">
        <f>74454/12</f>
        <v>6204.5</v>
      </c>
      <c r="X207" s="4">
        <f>74454/12</f>
        <v>6204.5</v>
      </c>
      <c r="Y207" s="4">
        <f>74454/12</f>
        <v>6204.5</v>
      </c>
      <c r="Z207" s="4">
        <f>76687/12</f>
        <v>6390.583333333333</v>
      </c>
      <c r="AA207" s="4">
        <f>76687/12</f>
        <v>6390.583333333333</v>
      </c>
      <c r="AB207" s="4">
        <f>78301/12</f>
        <v>6525.083333333333</v>
      </c>
      <c r="AC207" s="5" t="s">
        <v>423</v>
      </c>
    </row>
    <row r="208" spans="1:29" ht="15.5" x14ac:dyDescent="0.35">
      <c r="A208" s="2" t="s">
        <v>425</v>
      </c>
      <c r="B208" s="1" t="s">
        <v>426</v>
      </c>
      <c r="C208" s="4">
        <f>102180/12</f>
        <v>8515</v>
      </c>
      <c r="D208" s="4">
        <f>105246/12</f>
        <v>8770.5</v>
      </c>
      <c r="E208" s="4">
        <f>105246/12</f>
        <v>8770.5</v>
      </c>
      <c r="F208" s="4">
        <f>108403/12</f>
        <v>9033.5833333333339</v>
      </c>
      <c r="G208" s="4">
        <f>108403/12</f>
        <v>9033.5833333333339</v>
      </c>
      <c r="H208" s="4">
        <f>111655/12</f>
        <v>9304.5833333333339</v>
      </c>
      <c r="I208" s="4">
        <f>111655/12</f>
        <v>9304.5833333333339</v>
      </c>
      <c r="J208" s="4">
        <f>115005/12</f>
        <v>9583.75</v>
      </c>
      <c r="K208" s="4">
        <f>115005/12</f>
        <v>9583.75</v>
      </c>
      <c r="L208" s="4">
        <f>115005/12</f>
        <v>9583.75</v>
      </c>
      <c r="M208" s="4">
        <f>127398/12</f>
        <v>10616.5</v>
      </c>
      <c r="N208" s="4">
        <f>127398/12</f>
        <v>10616.5</v>
      </c>
      <c r="O208" s="4">
        <f>131220/12</f>
        <v>10935</v>
      </c>
      <c r="P208" s="4">
        <f>131220/12</f>
        <v>10935</v>
      </c>
      <c r="Q208" s="4">
        <f>131220/12</f>
        <v>10935</v>
      </c>
      <c r="R208" s="4">
        <f>135157/12</f>
        <v>11263.083333333334</v>
      </c>
      <c r="S208" s="4">
        <f>135157/12</f>
        <v>11263.083333333334</v>
      </c>
      <c r="T208" s="4">
        <f>139211/12</f>
        <v>11600.916666666666</v>
      </c>
      <c r="U208" s="4">
        <f>139211/12</f>
        <v>11600.916666666666</v>
      </c>
      <c r="V208" s="4">
        <f>139211/12</f>
        <v>11600.916666666666</v>
      </c>
      <c r="W208" s="4">
        <f>143388/12</f>
        <v>11949</v>
      </c>
      <c r="X208" s="4">
        <f>143388/12</f>
        <v>11949</v>
      </c>
      <c r="Y208" s="4">
        <f>143388/12</f>
        <v>11949</v>
      </c>
      <c r="Z208" s="4">
        <f>147689/12</f>
        <v>12307.416666666666</v>
      </c>
      <c r="AA208" s="4">
        <f>147689/12</f>
        <v>12307.416666666666</v>
      </c>
      <c r="AB208" s="4">
        <f>152616/12</f>
        <v>12718</v>
      </c>
      <c r="AC208" s="5" t="s">
        <v>425</v>
      </c>
    </row>
    <row r="209" spans="1:29" ht="15.5" x14ac:dyDescent="0.35">
      <c r="A209" s="2" t="s">
        <v>427</v>
      </c>
      <c r="B209" s="1" t="s">
        <v>428</v>
      </c>
      <c r="C209" s="4">
        <f>99782/12</f>
        <v>8315.1666666666661</v>
      </c>
      <c r="D209" s="4">
        <f>102776/12</f>
        <v>8564.6666666666661</v>
      </c>
      <c r="E209" s="4">
        <f>102776/12</f>
        <v>8564.6666666666661</v>
      </c>
      <c r="F209" s="4">
        <f>105859/12</f>
        <v>8821.5833333333339</v>
      </c>
      <c r="G209" s="4">
        <f>105859/12</f>
        <v>8821.5833333333339</v>
      </c>
      <c r="H209" s="4">
        <f>109035/12</f>
        <v>9086.25</v>
      </c>
      <c r="I209" s="4">
        <f>109035/12</f>
        <v>9086.25</v>
      </c>
      <c r="J209" s="4">
        <f t="shared" ref="J209:L210" si="24">112306/12</f>
        <v>9358.8333333333339</v>
      </c>
      <c r="K209" s="4">
        <f t="shared" si="24"/>
        <v>9358.8333333333339</v>
      </c>
      <c r="L209" s="4">
        <f t="shared" si="24"/>
        <v>9358.8333333333339</v>
      </c>
      <c r="M209" s="4">
        <f>122233/12</f>
        <v>10186.083333333334</v>
      </c>
      <c r="N209" s="4">
        <f>122233/12</f>
        <v>10186.083333333334</v>
      </c>
      <c r="O209" s="4">
        <f t="shared" ref="O209:Q210" si="25">125900/12</f>
        <v>10491.666666666666</v>
      </c>
      <c r="P209" s="4">
        <f t="shared" si="25"/>
        <v>10491.666666666666</v>
      </c>
      <c r="Q209" s="4">
        <f t="shared" si="25"/>
        <v>10491.666666666666</v>
      </c>
      <c r="R209" s="4">
        <f>129677/12</f>
        <v>10806.416666666666</v>
      </c>
      <c r="S209" s="4">
        <f>129677/12</f>
        <v>10806.416666666666</v>
      </c>
      <c r="T209" s="4">
        <f t="shared" ref="T209:V210" si="26">133568/12</f>
        <v>11130.666666666666</v>
      </c>
      <c r="U209" s="4">
        <f t="shared" si="26"/>
        <v>11130.666666666666</v>
      </c>
      <c r="V209" s="4">
        <f t="shared" si="26"/>
        <v>11130.666666666666</v>
      </c>
      <c r="W209" s="4">
        <f t="shared" ref="W209:Y210" si="27">137575/12</f>
        <v>11464.583333333334</v>
      </c>
      <c r="X209" s="4">
        <f t="shared" si="27"/>
        <v>11464.583333333334</v>
      </c>
      <c r="Y209" s="4">
        <f t="shared" si="27"/>
        <v>11464.583333333334</v>
      </c>
      <c r="Z209" s="4">
        <f>141702/12</f>
        <v>11808.5</v>
      </c>
      <c r="AA209" s="4">
        <f>141702/12</f>
        <v>11808.5</v>
      </c>
      <c r="AB209" s="4">
        <f>144684/12</f>
        <v>12057</v>
      </c>
      <c r="AC209" s="5" t="s">
        <v>427</v>
      </c>
    </row>
    <row r="210" spans="1:29" ht="15.5" x14ac:dyDescent="0.35">
      <c r="A210" s="2" t="s">
        <v>564</v>
      </c>
      <c r="B210" s="1" t="s">
        <v>565</v>
      </c>
      <c r="C210" s="4">
        <f>99782/12</f>
        <v>8315.1666666666661</v>
      </c>
      <c r="D210" s="4">
        <f>102776/12</f>
        <v>8564.6666666666661</v>
      </c>
      <c r="E210" s="4">
        <f>102776/12</f>
        <v>8564.6666666666661</v>
      </c>
      <c r="F210" s="4">
        <f>105859/12</f>
        <v>8821.5833333333339</v>
      </c>
      <c r="G210" s="4">
        <f>105859/12</f>
        <v>8821.5833333333339</v>
      </c>
      <c r="H210" s="4">
        <f>109035/12</f>
        <v>9086.25</v>
      </c>
      <c r="I210" s="4">
        <f>109035/12</f>
        <v>9086.25</v>
      </c>
      <c r="J210" s="4">
        <f t="shared" si="24"/>
        <v>9358.8333333333339</v>
      </c>
      <c r="K210" s="4">
        <f t="shared" si="24"/>
        <v>9358.8333333333339</v>
      </c>
      <c r="L210" s="4">
        <f t="shared" si="24"/>
        <v>9358.8333333333339</v>
      </c>
      <c r="M210" s="4">
        <f>122233/12</f>
        <v>10186.083333333334</v>
      </c>
      <c r="N210" s="4">
        <f>122233/12</f>
        <v>10186.083333333334</v>
      </c>
      <c r="O210" s="4">
        <f t="shared" si="25"/>
        <v>10491.666666666666</v>
      </c>
      <c r="P210" s="4">
        <f t="shared" si="25"/>
        <v>10491.666666666666</v>
      </c>
      <c r="Q210" s="4">
        <f t="shared" si="25"/>
        <v>10491.666666666666</v>
      </c>
      <c r="R210" s="4">
        <f>129677/12</f>
        <v>10806.416666666666</v>
      </c>
      <c r="S210" s="4">
        <f>129677/12</f>
        <v>10806.416666666666</v>
      </c>
      <c r="T210" s="4">
        <f t="shared" si="26"/>
        <v>11130.666666666666</v>
      </c>
      <c r="U210" s="4">
        <f t="shared" si="26"/>
        <v>11130.666666666666</v>
      </c>
      <c r="V210" s="4">
        <f t="shared" si="26"/>
        <v>11130.666666666666</v>
      </c>
      <c r="W210" s="4">
        <f t="shared" si="27"/>
        <v>11464.583333333334</v>
      </c>
      <c r="X210" s="4">
        <f t="shared" si="27"/>
        <v>11464.583333333334</v>
      </c>
      <c r="Y210" s="4">
        <f t="shared" si="27"/>
        <v>11464.583333333334</v>
      </c>
      <c r="Z210" s="4">
        <f>141702/12</f>
        <v>11808.5</v>
      </c>
      <c r="AA210" s="4">
        <f>141702/12</f>
        <v>11808.5</v>
      </c>
      <c r="AB210" s="4">
        <f>144684/12</f>
        <v>12057</v>
      </c>
      <c r="AC210" s="5" t="s">
        <v>564</v>
      </c>
    </row>
    <row r="211" spans="1:29" ht="15.5" x14ac:dyDescent="0.35">
      <c r="A211" s="2" t="s">
        <v>429</v>
      </c>
      <c r="B211" s="1" t="s">
        <v>430</v>
      </c>
      <c r="C211" s="4">
        <f>85791/12</f>
        <v>7149.25</v>
      </c>
      <c r="D211" s="4">
        <f>88364/12</f>
        <v>7363.666666666667</v>
      </c>
      <c r="E211" s="4">
        <f>88364/12</f>
        <v>7363.666666666667</v>
      </c>
      <c r="F211" s="4">
        <f>91015/12</f>
        <v>7584.583333333333</v>
      </c>
      <c r="G211" s="4">
        <f>91015/12</f>
        <v>7584.583333333333</v>
      </c>
      <c r="H211" s="4">
        <f>93746/12</f>
        <v>7812.166666666667</v>
      </c>
      <c r="I211" s="4">
        <f>93746/12</f>
        <v>7812.166666666667</v>
      </c>
      <c r="J211" s="4">
        <f>96558/12</f>
        <v>8046.5</v>
      </c>
      <c r="K211" s="4">
        <f>96558/12</f>
        <v>8046.5</v>
      </c>
      <c r="L211" s="4">
        <f>96558/12</f>
        <v>8046.5</v>
      </c>
      <c r="M211" s="4">
        <f>105094/12</f>
        <v>8757.8333333333339</v>
      </c>
      <c r="N211" s="4">
        <f>105094/12</f>
        <v>8757.8333333333339</v>
      </c>
      <c r="O211" s="4">
        <f>108246/12</f>
        <v>9020.5</v>
      </c>
      <c r="P211" s="4">
        <f>108246/12</f>
        <v>9020.5</v>
      </c>
      <c r="Q211" s="4">
        <f>108246/12</f>
        <v>9020.5</v>
      </c>
      <c r="R211" s="4">
        <f>111494/12</f>
        <v>9291.1666666666661</v>
      </c>
      <c r="S211" s="4">
        <f>111494/12</f>
        <v>9291.1666666666661</v>
      </c>
      <c r="T211" s="4">
        <f>114839/12</f>
        <v>9569.9166666666661</v>
      </c>
      <c r="U211" s="4">
        <f>114839/12</f>
        <v>9569.9166666666661</v>
      </c>
      <c r="V211" s="4">
        <f>114839/12</f>
        <v>9569.9166666666661</v>
      </c>
      <c r="W211" s="4">
        <f>118284/12</f>
        <v>9857</v>
      </c>
      <c r="X211" s="4">
        <f>118284/12</f>
        <v>9857</v>
      </c>
      <c r="Y211" s="4">
        <f>118284/12</f>
        <v>9857</v>
      </c>
      <c r="Z211" s="4">
        <f>121832/12</f>
        <v>10152.666666666666</v>
      </c>
      <c r="AA211" s="4">
        <f>121832/12</f>
        <v>10152.666666666666</v>
      </c>
      <c r="AB211" s="4">
        <f>124397/12</f>
        <v>10366.416666666666</v>
      </c>
      <c r="AC211" s="5" t="s">
        <v>429</v>
      </c>
    </row>
    <row r="212" spans="1:29" ht="15.5" x14ac:dyDescent="0.35">
      <c r="A212" s="2" t="s">
        <v>431</v>
      </c>
      <c r="B212" s="1" t="s">
        <v>432</v>
      </c>
      <c r="C212" s="4">
        <f>92144/12</f>
        <v>7678.666666666667</v>
      </c>
      <c r="D212" s="4">
        <f>94908/12</f>
        <v>7909</v>
      </c>
      <c r="E212" s="4">
        <f>94908/12</f>
        <v>7909</v>
      </c>
      <c r="F212" s="4">
        <f>97755/12</f>
        <v>8146.25</v>
      </c>
      <c r="G212" s="4">
        <f>97755/12</f>
        <v>8146.25</v>
      </c>
      <c r="H212" s="4">
        <f>100688/12</f>
        <v>8390.6666666666661</v>
      </c>
      <c r="I212" s="4">
        <f>100688/12</f>
        <v>8390.6666666666661</v>
      </c>
      <c r="J212" s="4">
        <f>103709/12</f>
        <v>8642.4166666666661</v>
      </c>
      <c r="K212" s="4">
        <f>103709/12</f>
        <v>8642.4166666666661</v>
      </c>
      <c r="L212" s="4">
        <f>103709/12</f>
        <v>8642.4166666666661</v>
      </c>
      <c r="M212" s="4">
        <f>112876/12</f>
        <v>9406.3333333333339</v>
      </c>
      <c r="N212" s="4">
        <f>112876/12</f>
        <v>9406.3333333333339</v>
      </c>
      <c r="O212" s="4">
        <f>116262/12</f>
        <v>9688.5</v>
      </c>
      <c r="P212" s="4">
        <f>116262/12</f>
        <v>9688.5</v>
      </c>
      <c r="Q212" s="4">
        <f>116262/12</f>
        <v>9688.5</v>
      </c>
      <c r="R212" s="4">
        <f>119750/12</f>
        <v>9979.1666666666661</v>
      </c>
      <c r="S212" s="4">
        <f>119750/12</f>
        <v>9979.1666666666661</v>
      </c>
      <c r="T212" s="4">
        <f>123343/12</f>
        <v>10278.583333333334</v>
      </c>
      <c r="U212" s="4">
        <f>123343/12</f>
        <v>10278.583333333334</v>
      </c>
      <c r="V212" s="4">
        <f>123343/12</f>
        <v>10278.583333333334</v>
      </c>
      <c r="W212" s="4">
        <f>127043/12</f>
        <v>10586.916666666666</v>
      </c>
      <c r="X212" s="4">
        <f>127043/12</f>
        <v>10586.916666666666</v>
      </c>
      <c r="Y212" s="4">
        <f>127043/12</f>
        <v>10586.916666666666</v>
      </c>
      <c r="Z212" s="4">
        <f>130854/12</f>
        <v>10904.5</v>
      </c>
      <c r="AA212" s="4">
        <f>130854/12</f>
        <v>10904.5</v>
      </c>
      <c r="AB212" s="4">
        <f>133609/12</f>
        <v>11134.083333333334</v>
      </c>
      <c r="AC212" s="5" t="s">
        <v>431</v>
      </c>
    </row>
    <row r="213" spans="1:29" ht="15.5" x14ac:dyDescent="0.35">
      <c r="A213" s="2" t="s">
        <v>433</v>
      </c>
      <c r="B213" s="1" t="s">
        <v>434</v>
      </c>
      <c r="C213" s="4">
        <f>98868/12</f>
        <v>8239</v>
      </c>
      <c r="D213" s="4">
        <f>101834/12</f>
        <v>8486.1666666666661</v>
      </c>
      <c r="E213" s="4">
        <f>101834/12</f>
        <v>8486.1666666666661</v>
      </c>
      <c r="F213" s="4">
        <f>104889/12</f>
        <v>8740.75</v>
      </c>
      <c r="G213" s="4">
        <f>104889/12</f>
        <v>8740.75</v>
      </c>
      <c r="H213" s="4">
        <f>108035/12</f>
        <v>9002.9166666666661</v>
      </c>
      <c r="I213" s="4">
        <f>108035/12</f>
        <v>9002.9166666666661</v>
      </c>
      <c r="J213" s="4">
        <f>111276/12</f>
        <v>9273</v>
      </c>
      <c r="K213" s="4">
        <f>111276/12</f>
        <v>9273</v>
      </c>
      <c r="L213" s="4">
        <f>111276/12</f>
        <v>9273</v>
      </c>
      <c r="M213" s="4">
        <f>121113/12</f>
        <v>10092.75</v>
      </c>
      <c r="N213" s="4">
        <f>121113/12</f>
        <v>10092.75</v>
      </c>
      <c r="O213" s="4">
        <f>124746/12</f>
        <v>10395.5</v>
      </c>
      <c r="P213" s="4">
        <f>124746/12</f>
        <v>10395.5</v>
      </c>
      <c r="Q213" s="4">
        <f>124746/12</f>
        <v>10395.5</v>
      </c>
      <c r="R213" s="4">
        <f>128489/12</f>
        <v>10707.416666666666</v>
      </c>
      <c r="S213" s="4">
        <f>128489/12</f>
        <v>10707.416666666666</v>
      </c>
      <c r="T213" s="4">
        <f>132343/12</f>
        <v>11028.583333333334</v>
      </c>
      <c r="U213" s="4">
        <f>132343/12</f>
        <v>11028.583333333334</v>
      </c>
      <c r="V213" s="4">
        <f>132343/12</f>
        <v>11028.583333333334</v>
      </c>
      <c r="W213" s="4">
        <f>136314/12</f>
        <v>11359.5</v>
      </c>
      <c r="X213" s="4">
        <f>136314/12</f>
        <v>11359.5</v>
      </c>
      <c r="Y213" s="4">
        <f>136314/12</f>
        <v>11359.5</v>
      </c>
      <c r="Z213" s="4">
        <f>140403/12</f>
        <v>11700.25</v>
      </c>
      <c r="AA213" s="4">
        <f>140403/12</f>
        <v>11700.25</v>
      </c>
      <c r="AB213" s="4">
        <f>143358/12</f>
        <v>11946.5</v>
      </c>
      <c r="AC213" s="5" t="s">
        <v>433</v>
      </c>
    </row>
    <row r="214" spans="1:29" ht="15.5" x14ac:dyDescent="0.35">
      <c r="A214" s="2" t="s">
        <v>435</v>
      </c>
      <c r="B214" s="1" t="s">
        <v>436</v>
      </c>
      <c r="C214" s="4">
        <f>72405/12</f>
        <v>6033.75</v>
      </c>
      <c r="D214" s="4">
        <f>74577/12</f>
        <v>6214.75</v>
      </c>
      <c r="E214" s="4">
        <f>74577/12</f>
        <v>6214.75</v>
      </c>
      <c r="F214" s="4">
        <f>76814/12</f>
        <v>6401.166666666667</v>
      </c>
      <c r="G214" s="4">
        <f>76814/12</f>
        <v>6401.166666666667</v>
      </c>
      <c r="H214" s="4">
        <f>79119/12</f>
        <v>6593.25</v>
      </c>
      <c r="I214" s="4">
        <f>79119/12</f>
        <v>6593.25</v>
      </c>
      <c r="J214" s="4">
        <f>81492/12</f>
        <v>6791</v>
      </c>
      <c r="K214" s="4">
        <f>81492/12</f>
        <v>6791</v>
      </c>
      <c r="L214" s="4">
        <f>81492/12</f>
        <v>6791</v>
      </c>
      <c r="M214" s="4">
        <f>88696/12</f>
        <v>7391.333333333333</v>
      </c>
      <c r="N214" s="4">
        <f>88696/12</f>
        <v>7391.333333333333</v>
      </c>
      <c r="O214" s="4">
        <f>91357/12</f>
        <v>7613.083333333333</v>
      </c>
      <c r="P214" s="4">
        <f>91357/12</f>
        <v>7613.083333333333</v>
      </c>
      <c r="Q214" s="4">
        <f>91357/12</f>
        <v>7613.083333333333</v>
      </c>
      <c r="R214" s="4">
        <f>94098/12</f>
        <v>7841.5</v>
      </c>
      <c r="S214" s="4">
        <f>94098/12</f>
        <v>7841.5</v>
      </c>
      <c r="T214" s="4">
        <f>96920/12</f>
        <v>8076.666666666667</v>
      </c>
      <c r="U214" s="4">
        <f>96920/12</f>
        <v>8076.666666666667</v>
      </c>
      <c r="V214" s="4">
        <f>96920/12</f>
        <v>8076.666666666667</v>
      </c>
      <c r="W214" s="4">
        <f>99828/12</f>
        <v>8319</v>
      </c>
      <c r="X214" s="4">
        <f>99828/12</f>
        <v>8319</v>
      </c>
      <c r="Y214" s="4">
        <f>99828/12</f>
        <v>8319</v>
      </c>
      <c r="Z214" s="4">
        <f>102823/12</f>
        <v>8568.5833333333339</v>
      </c>
      <c r="AA214" s="4">
        <f>102823/12</f>
        <v>8568.5833333333339</v>
      </c>
      <c r="AB214" s="4">
        <f>104987/12</f>
        <v>8748.9166666666661</v>
      </c>
      <c r="AC214" s="5" t="s">
        <v>435</v>
      </c>
    </row>
    <row r="215" spans="1:29" ht="15.5" x14ac:dyDescent="0.35">
      <c r="A215" s="2" t="s">
        <v>437</v>
      </c>
      <c r="B215" s="1" t="s">
        <v>438</v>
      </c>
      <c r="C215" s="4">
        <f>73307/12</f>
        <v>6108.916666666667</v>
      </c>
      <c r="D215" s="4">
        <f>75506/12</f>
        <v>6292.166666666667</v>
      </c>
      <c r="E215" s="4">
        <f>75506/12</f>
        <v>6292.166666666667</v>
      </c>
      <c r="F215" s="4">
        <f>77772/12</f>
        <v>6481</v>
      </c>
      <c r="G215" s="4">
        <f>77772/12</f>
        <v>6481</v>
      </c>
      <c r="H215" s="4">
        <f>80105/12</f>
        <v>6675.416666666667</v>
      </c>
      <c r="I215" s="4">
        <f>80105/12</f>
        <v>6675.416666666667</v>
      </c>
      <c r="J215" s="4">
        <f>82508/12</f>
        <v>6875.666666666667</v>
      </c>
      <c r="K215" s="4">
        <f>82508/12</f>
        <v>6875.666666666667</v>
      </c>
      <c r="L215" s="4">
        <f>82508/12</f>
        <v>6875.666666666667</v>
      </c>
      <c r="M215" s="4">
        <f>89801/12</f>
        <v>7483.416666666667</v>
      </c>
      <c r="N215" s="4">
        <f>89801/12</f>
        <v>7483.416666666667</v>
      </c>
      <c r="O215" s="4">
        <f>92495/12</f>
        <v>7707.916666666667</v>
      </c>
      <c r="P215" s="4">
        <f>92495/12</f>
        <v>7707.916666666667</v>
      </c>
      <c r="Q215" s="4">
        <f>92495/12</f>
        <v>7707.916666666667</v>
      </c>
      <c r="R215" s="4">
        <f>95270/12</f>
        <v>7939.166666666667</v>
      </c>
      <c r="S215" s="4">
        <f>95270/12</f>
        <v>7939.166666666667</v>
      </c>
      <c r="T215" s="4">
        <f>98128/12</f>
        <v>8177.333333333333</v>
      </c>
      <c r="U215" s="4">
        <f>98128/12</f>
        <v>8177.333333333333</v>
      </c>
      <c r="V215" s="4">
        <f>98128/12</f>
        <v>8177.333333333333</v>
      </c>
      <c r="W215" s="4">
        <f>101072/12</f>
        <v>8422.6666666666661</v>
      </c>
      <c r="X215" s="4">
        <f>101072/12</f>
        <v>8422.6666666666661</v>
      </c>
      <c r="Y215" s="4">
        <f>101072/12</f>
        <v>8422.6666666666661</v>
      </c>
      <c r="Z215" s="4">
        <f>104104/12</f>
        <v>8675.3333333333339</v>
      </c>
      <c r="AA215" s="4">
        <f>104104/12</f>
        <v>8675.3333333333339</v>
      </c>
      <c r="AB215" s="4">
        <f>106295/12</f>
        <v>8857.9166666666661</v>
      </c>
      <c r="AC215" s="5" t="s">
        <v>437</v>
      </c>
    </row>
    <row r="216" spans="1:29" ht="15.5" x14ac:dyDescent="0.35">
      <c r="A216" s="2" t="s">
        <v>512</v>
      </c>
      <c r="B216" s="1" t="s">
        <v>440</v>
      </c>
      <c r="C216" s="4">
        <f>128581/12</f>
        <v>10715.083333333334</v>
      </c>
      <c r="D216" s="4">
        <f>132432/12</f>
        <v>11036</v>
      </c>
      <c r="E216" s="4">
        <f>132432/12</f>
        <v>11036</v>
      </c>
      <c r="F216" s="4">
        <f>136405/12</f>
        <v>11367.083333333334</v>
      </c>
      <c r="G216" s="4">
        <f>136405/12</f>
        <v>11367.083333333334</v>
      </c>
      <c r="H216" s="4">
        <f>140497/12</f>
        <v>11708.083333333334</v>
      </c>
      <c r="I216" s="4">
        <f>140497/12</f>
        <v>11708.083333333334</v>
      </c>
      <c r="J216" s="4">
        <f>144712/12</f>
        <v>12059.333333333334</v>
      </c>
      <c r="K216" s="4">
        <f>144712/12</f>
        <v>12059.333333333334</v>
      </c>
      <c r="L216" s="4">
        <f>144712/12</f>
        <v>12059.333333333334</v>
      </c>
      <c r="M216" s="4">
        <f>157910/12</f>
        <v>13159.166666666666</v>
      </c>
      <c r="N216" s="4">
        <f>157910/12</f>
        <v>13159.166666666666</v>
      </c>
      <c r="O216" s="4">
        <f>162647/12</f>
        <v>13553.916666666666</v>
      </c>
      <c r="P216" s="4">
        <f>162647/12</f>
        <v>13553.916666666666</v>
      </c>
      <c r="Q216" s="4">
        <f>162647/12</f>
        <v>13553.916666666666</v>
      </c>
      <c r="R216" s="4">
        <f>167527/12</f>
        <v>13960.583333333334</v>
      </c>
      <c r="S216" s="4">
        <f>167527/12</f>
        <v>13960.583333333334</v>
      </c>
      <c r="T216" s="4">
        <f>172552/12</f>
        <v>14379.333333333334</v>
      </c>
      <c r="U216" s="4">
        <f>172552/12</f>
        <v>14379.333333333334</v>
      </c>
      <c r="V216" s="4">
        <f>172552/12</f>
        <v>14379.333333333334</v>
      </c>
      <c r="W216" s="4">
        <f>177729/12</f>
        <v>14810.75</v>
      </c>
      <c r="X216" s="4">
        <f>177729/12</f>
        <v>14810.75</v>
      </c>
      <c r="Y216" s="4">
        <f>177729/12</f>
        <v>14810.75</v>
      </c>
      <c r="Z216" s="4">
        <f>183061/12</f>
        <v>15255.083333333334</v>
      </c>
      <c r="AA216" s="4">
        <f>183061/12</f>
        <v>15255.083333333334</v>
      </c>
      <c r="AB216" s="4">
        <f>187245/12</f>
        <v>15603.75</v>
      </c>
      <c r="AC216" s="5" t="s">
        <v>439</v>
      </c>
    </row>
    <row r="217" spans="1:29" ht="15.5" x14ac:dyDescent="0.35">
      <c r="A217" s="2" t="s">
        <v>441</v>
      </c>
      <c r="B217" s="1" t="s">
        <v>442</v>
      </c>
      <c r="C217" s="4">
        <f>102551/12</f>
        <v>8545.9166666666661</v>
      </c>
      <c r="D217" s="4">
        <f>105627/12</f>
        <v>8802.25</v>
      </c>
      <c r="E217" s="4">
        <f>105627/12</f>
        <v>8802.25</v>
      </c>
      <c r="F217" s="4">
        <f>108796/12</f>
        <v>9066.3333333333339</v>
      </c>
      <c r="G217" s="4">
        <f>108796/12</f>
        <v>9066.3333333333339</v>
      </c>
      <c r="H217" s="4">
        <f>112060/12</f>
        <v>9338.3333333333339</v>
      </c>
      <c r="I217" s="4">
        <f>112060/12</f>
        <v>9338.3333333333339</v>
      </c>
      <c r="J217" s="4">
        <f>115422/12</f>
        <v>9618.5</v>
      </c>
      <c r="K217" s="4">
        <f>115422/12</f>
        <v>9618.5</v>
      </c>
      <c r="L217" s="4">
        <f>115422/12</f>
        <v>9618.5</v>
      </c>
      <c r="M217" s="4">
        <f>125625/12</f>
        <v>10468.75</v>
      </c>
      <c r="N217" s="4">
        <f>125625/12</f>
        <v>10468.75</v>
      </c>
      <c r="O217" s="4">
        <f>129394/12</f>
        <v>10782.833333333334</v>
      </c>
      <c r="P217" s="4">
        <f>129394/12</f>
        <v>10782.833333333334</v>
      </c>
      <c r="Q217" s="4">
        <f>129394/12</f>
        <v>10782.833333333334</v>
      </c>
      <c r="R217" s="4">
        <f>133275/12</f>
        <v>11106.25</v>
      </c>
      <c r="S217" s="4">
        <f>133275/12</f>
        <v>11106.25</v>
      </c>
      <c r="T217" s="4">
        <f>137274/12</f>
        <v>11439.5</v>
      </c>
      <c r="U217" s="4">
        <f>137274/12</f>
        <v>11439.5</v>
      </c>
      <c r="V217" s="4">
        <f>137274/12</f>
        <v>11439.5</v>
      </c>
      <c r="W217" s="4">
        <f>141392/12</f>
        <v>11782.666666666666</v>
      </c>
      <c r="X217" s="4">
        <f>141392/12</f>
        <v>11782.666666666666</v>
      </c>
      <c r="Y217" s="4">
        <f>141392/12</f>
        <v>11782.666666666666</v>
      </c>
      <c r="Z217" s="4">
        <f>145634/12</f>
        <v>12136.166666666666</v>
      </c>
      <c r="AA217" s="4">
        <f>145634/12</f>
        <v>12136.166666666666</v>
      </c>
      <c r="AB217" s="4">
        <f>148699/12</f>
        <v>12391.583333333334</v>
      </c>
      <c r="AC217" s="5" t="s">
        <v>441</v>
      </c>
    </row>
    <row r="218" spans="1:29" ht="15.5" x14ac:dyDescent="0.35">
      <c r="A218" s="2" t="s">
        <v>443</v>
      </c>
      <c r="B218" s="1" t="s">
        <v>444</v>
      </c>
      <c r="C218" s="4">
        <f>102835/12</f>
        <v>8569.5833333333339</v>
      </c>
      <c r="D218" s="4">
        <f>105920/12</f>
        <v>8826.6666666666661</v>
      </c>
      <c r="E218" s="4">
        <f>105920/12</f>
        <v>8826.6666666666661</v>
      </c>
      <c r="F218" s="4">
        <f>109098/12</f>
        <v>9091.5</v>
      </c>
      <c r="G218" s="4">
        <f>109098/12</f>
        <v>9091.5</v>
      </c>
      <c r="H218" s="4">
        <f>112371/12</f>
        <v>9364.25</v>
      </c>
      <c r="I218" s="4">
        <f>112371/12</f>
        <v>9364.25</v>
      </c>
      <c r="J218" s="4">
        <f>115742/12</f>
        <v>9645.1666666666661</v>
      </c>
      <c r="K218" s="4">
        <f>115742/12</f>
        <v>9645.1666666666661</v>
      </c>
      <c r="L218" s="4">
        <f>115742/12</f>
        <v>9645.1666666666661</v>
      </c>
      <c r="M218" s="4">
        <f>125973/12</f>
        <v>10497.75</v>
      </c>
      <c r="N218" s="4">
        <f>125973/12</f>
        <v>10497.75</v>
      </c>
      <c r="O218" s="4">
        <f>129752/12</f>
        <v>10812.666666666666</v>
      </c>
      <c r="P218" s="4">
        <f>129752/12</f>
        <v>10812.666666666666</v>
      </c>
      <c r="Q218" s="4">
        <f>129752/12</f>
        <v>10812.666666666666</v>
      </c>
      <c r="R218" s="4">
        <f>133645/12</f>
        <v>11137.083333333334</v>
      </c>
      <c r="S218" s="4">
        <f>133645/12</f>
        <v>11137.083333333334</v>
      </c>
      <c r="T218" s="4">
        <f>137654/12</f>
        <v>11471.166666666666</v>
      </c>
      <c r="U218" s="4">
        <f>137654/12</f>
        <v>11471.166666666666</v>
      </c>
      <c r="V218" s="4">
        <f>137654/12</f>
        <v>11471.166666666666</v>
      </c>
      <c r="W218" s="4">
        <f>141784/12</f>
        <v>11815.333333333334</v>
      </c>
      <c r="X218" s="4">
        <f>141784/12</f>
        <v>11815.333333333334</v>
      </c>
      <c r="Y218" s="4">
        <f>141784/12</f>
        <v>11815.333333333334</v>
      </c>
      <c r="Z218" s="4">
        <f>146037/12</f>
        <v>12169.75</v>
      </c>
      <c r="AA218" s="4">
        <f>146037/12</f>
        <v>12169.75</v>
      </c>
      <c r="AB218" s="4">
        <f>149111/12</f>
        <v>12425.916666666666</v>
      </c>
      <c r="AC218" s="5" t="s">
        <v>443</v>
      </c>
    </row>
    <row r="219" spans="1:29" ht="15.5" x14ac:dyDescent="0.35">
      <c r="A219" s="2" t="s">
        <v>445</v>
      </c>
      <c r="B219" s="1" t="s">
        <v>446</v>
      </c>
      <c r="C219" s="4">
        <f>92144/12</f>
        <v>7678.666666666667</v>
      </c>
      <c r="D219" s="4">
        <f>94908/12</f>
        <v>7909</v>
      </c>
      <c r="E219" s="4">
        <f>94908/12</f>
        <v>7909</v>
      </c>
      <c r="F219" s="4">
        <f>97755/12</f>
        <v>8146.25</v>
      </c>
      <c r="G219" s="4">
        <f>97755/12</f>
        <v>8146.25</v>
      </c>
      <c r="H219" s="4">
        <f>100688/12</f>
        <v>8390.6666666666661</v>
      </c>
      <c r="I219" s="4">
        <f>100688/12</f>
        <v>8390.6666666666661</v>
      </c>
      <c r="J219" s="4">
        <f>103709/12</f>
        <v>8642.4166666666661</v>
      </c>
      <c r="K219" s="4">
        <f>103709/12</f>
        <v>8642.4166666666661</v>
      </c>
      <c r="L219" s="4">
        <f>103709/12</f>
        <v>8642.4166666666661</v>
      </c>
      <c r="M219" s="4">
        <f>112876/12</f>
        <v>9406.3333333333339</v>
      </c>
      <c r="N219" s="4">
        <f>112876/12</f>
        <v>9406.3333333333339</v>
      </c>
      <c r="O219" s="4">
        <f>116262/12</f>
        <v>9688.5</v>
      </c>
      <c r="P219" s="4">
        <f>116262/12</f>
        <v>9688.5</v>
      </c>
      <c r="Q219" s="4">
        <f>116262/12</f>
        <v>9688.5</v>
      </c>
      <c r="R219" s="4">
        <f>119750/12</f>
        <v>9979.1666666666661</v>
      </c>
      <c r="S219" s="4">
        <f>119750/12</f>
        <v>9979.1666666666661</v>
      </c>
      <c r="T219" s="4">
        <f>123343/12</f>
        <v>10278.583333333334</v>
      </c>
      <c r="U219" s="4">
        <f>123343/12</f>
        <v>10278.583333333334</v>
      </c>
      <c r="V219" s="4">
        <f>123343/12</f>
        <v>10278.583333333334</v>
      </c>
      <c r="W219" s="4">
        <f>127043/12</f>
        <v>10586.916666666666</v>
      </c>
      <c r="X219" s="4">
        <f>127043/12</f>
        <v>10586.916666666666</v>
      </c>
      <c r="Y219" s="4">
        <f>127043/12</f>
        <v>10586.916666666666</v>
      </c>
      <c r="Z219" s="4">
        <f>130854/12</f>
        <v>10904.5</v>
      </c>
      <c r="AA219" s="4">
        <f>130854/12</f>
        <v>10904.5</v>
      </c>
      <c r="AB219" s="4">
        <f>133609/12</f>
        <v>11134.083333333334</v>
      </c>
      <c r="AC219" s="5" t="s">
        <v>445</v>
      </c>
    </row>
    <row r="220" spans="1:29" ht="15.5" x14ac:dyDescent="0.35">
      <c r="A220" s="2" t="s">
        <v>447</v>
      </c>
      <c r="B220" s="1" t="s">
        <v>448</v>
      </c>
      <c r="C220" s="4">
        <f>102180/12</f>
        <v>8515</v>
      </c>
      <c r="D220" s="4">
        <f>105246/12</f>
        <v>8770.5</v>
      </c>
      <c r="E220" s="4">
        <f>105246/12</f>
        <v>8770.5</v>
      </c>
      <c r="F220" s="4">
        <f>108403/12</f>
        <v>9033.5833333333339</v>
      </c>
      <c r="G220" s="4">
        <f>108403/12</f>
        <v>9033.5833333333339</v>
      </c>
      <c r="H220" s="4">
        <f>111655/12</f>
        <v>9304.5833333333339</v>
      </c>
      <c r="I220" s="4">
        <f>111655/12</f>
        <v>9304.5833333333339</v>
      </c>
      <c r="J220" s="4">
        <f t="shared" ref="J220:L221" si="28">115005/12</f>
        <v>9583.75</v>
      </c>
      <c r="K220" s="4">
        <f t="shared" si="28"/>
        <v>9583.75</v>
      </c>
      <c r="L220" s="4">
        <f t="shared" si="28"/>
        <v>9583.75</v>
      </c>
      <c r="M220" s="4">
        <f>127398/12</f>
        <v>10616.5</v>
      </c>
      <c r="N220" s="4">
        <f>127398/12</f>
        <v>10616.5</v>
      </c>
      <c r="O220" s="4">
        <f t="shared" ref="O220:Q221" si="29">131220/12</f>
        <v>10935</v>
      </c>
      <c r="P220" s="4">
        <f t="shared" si="29"/>
        <v>10935</v>
      </c>
      <c r="Q220" s="4">
        <f t="shared" si="29"/>
        <v>10935</v>
      </c>
      <c r="R220" s="4">
        <f>135157/12</f>
        <v>11263.083333333334</v>
      </c>
      <c r="S220" s="4">
        <f>135157/12</f>
        <v>11263.083333333334</v>
      </c>
      <c r="T220" s="4">
        <f t="shared" ref="T220:V221" si="30">139211/12</f>
        <v>11600.916666666666</v>
      </c>
      <c r="U220" s="4">
        <f t="shared" si="30"/>
        <v>11600.916666666666</v>
      </c>
      <c r="V220" s="4">
        <f t="shared" si="30"/>
        <v>11600.916666666666</v>
      </c>
      <c r="W220" s="4">
        <f t="shared" ref="W220:Y221" si="31">143388/12</f>
        <v>11949</v>
      </c>
      <c r="X220" s="4">
        <f t="shared" si="31"/>
        <v>11949</v>
      </c>
      <c r="Y220" s="4">
        <f t="shared" si="31"/>
        <v>11949</v>
      </c>
      <c r="Z220" s="4">
        <f>147689/12</f>
        <v>12307.416666666666</v>
      </c>
      <c r="AA220" s="4">
        <f>147689/12</f>
        <v>12307.416666666666</v>
      </c>
      <c r="AB220" s="4">
        <f>152616/12</f>
        <v>12718</v>
      </c>
      <c r="AC220" s="5" t="s">
        <v>447</v>
      </c>
    </row>
    <row r="221" spans="1:29" ht="15.5" x14ac:dyDescent="0.35">
      <c r="A221" s="2" t="s">
        <v>449</v>
      </c>
      <c r="B221" s="1" t="s">
        <v>450</v>
      </c>
      <c r="C221" s="4">
        <f>102180/12</f>
        <v>8515</v>
      </c>
      <c r="D221" s="4">
        <f>105246/12</f>
        <v>8770.5</v>
      </c>
      <c r="E221" s="4">
        <f>105246/12</f>
        <v>8770.5</v>
      </c>
      <c r="F221" s="4">
        <f>108403/12</f>
        <v>9033.5833333333339</v>
      </c>
      <c r="G221" s="4">
        <f>108403/12</f>
        <v>9033.5833333333339</v>
      </c>
      <c r="H221" s="4">
        <f>111655/12</f>
        <v>9304.5833333333339</v>
      </c>
      <c r="I221" s="4">
        <f>111655/12</f>
        <v>9304.5833333333339</v>
      </c>
      <c r="J221" s="4">
        <f t="shared" si="28"/>
        <v>9583.75</v>
      </c>
      <c r="K221" s="4">
        <f t="shared" si="28"/>
        <v>9583.75</v>
      </c>
      <c r="L221" s="4">
        <f t="shared" si="28"/>
        <v>9583.75</v>
      </c>
      <c r="M221" s="4">
        <f>127398/12</f>
        <v>10616.5</v>
      </c>
      <c r="N221" s="4">
        <f>127398/12</f>
        <v>10616.5</v>
      </c>
      <c r="O221" s="4">
        <f t="shared" si="29"/>
        <v>10935</v>
      </c>
      <c r="P221" s="4">
        <f t="shared" si="29"/>
        <v>10935</v>
      </c>
      <c r="Q221" s="4">
        <f t="shared" si="29"/>
        <v>10935</v>
      </c>
      <c r="R221" s="4">
        <f>135157/12</f>
        <v>11263.083333333334</v>
      </c>
      <c r="S221" s="4">
        <f>135157/12</f>
        <v>11263.083333333334</v>
      </c>
      <c r="T221" s="4">
        <f t="shared" si="30"/>
        <v>11600.916666666666</v>
      </c>
      <c r="U221" s="4">
        <f t="shared" si="30"/>
        <v>11600.916666666666</v>
      </c>
      <c r="V221" s="4">
        <f t="shared" si="30"/>
        <v>11600.916666666666</v>
      </c>
      <c r="W221" s="4">
        <f t="shared" si="31"/>
        <v>11949</v>
      </c>
      <c r="X221" s="4">
        <f t="shared" si="31"/>
        <v>11949</v>
      </c>
      <c r="Y221" s="4">
        <f t="shared" si="31"/>
        <v>11949</v>
      </c>
      <c r="Z221" s="4">
        <f>147689/12</f>
        <v>12307.416666666666</v>
      </c>
      <c r="AA221" s="4">
        <f>147689/12</f>
        <v>12307.416666666666</v>
      </c>
      <c r="AB221" s="4">
        <f>152616/12</f>
        <v>12718</v>
      </c>
      <c r="AC221" s="5" t="s">
        <v>449</v>
      </c>
    </row>
    <row r="222" spans="1:29" ht="15.5" x14ac:dyDescent="0.35">
      <c r="A222" s="2" t="s">
        <v>451</v>
      </c>
      <c r="B222" s="1" t="s">
        <v>452</v>
      </c>
      <c r="C222" s="4">
        <f>95778/12</f>
        <v>7981.5</v>
      </c>
      <c r="D222" s="4">
        <f>98651/12</f>
        <v>8220.9166666666661</v>
      </c>
      <c r="E222" s="4">
        <f>98651/12</f>
        <v>8220.9166666666661</v>
      </c>
      <c r="F222" s="4">
        <f>101610/12</f>
        <v>8467.5</v>
      </c>
      <c r="G222" s="4">
        <f>101610/12</f>
        <v>8467.5</v>
      </c>
      <c r="H222" s="4">
        <f>104659/12</f>
        <v>8721.5833333333339</v>
      </c>
      <c r="I222" s="4">
        <f>104659/12</f>
        <v>8721.5833333333339</v>
      </c>
      <c r="J222" s="4">
        <f>107799/12</f>
        <v>8983.25</v>
      </c>
      <c r="K222" s="4">
        <f>107799/12</f>
        <v>8983.25</v>
      </c>
      <c r="L222" s="4">
        <f>107799/12</f>
        <v>8983.25</v>
      </c>
      <c r="M222" s="4">
        <f>117328/12</f>
        <v>9777.3333333333339</v>
      </c>
      <c r="N222" s="4">
        <f>117328/12</f>
        <v>9777.3333333333339</v>
      </c>
      <c r="O222" s="4">
        <f>20847/12</f>
        <v>1737.25</v>
      </c>
      <c r="P222" s="4">
        <f>20847/12</f>
        <v>1737.25</v>
      </c>
      <c r="Q222" s="4">
        <f>20847/12</f>
        <v>1737.25</v>
      </c>
      <c r="R222" s="4">
        <f>124473/12</f>
        <v>10372.75</v>
      </c>
      <c r="S222" s="4">
        <f>124473/12</f>
        <v>10372.75</v>
      </c>
      <c r="T222" s="4">
        <f>128207/12</f>
        <v>10683.916666666666</v>
      </c>
      <c r="U222" s="4">
        <f>128207/12</f>
        <v>10683.916666666666</v>
      </c>
      <c r="V222" s="4">
        <f>128207/12</f>
        <v>10683.916666666666</v>
      </c>
      <c r="W222" s="4">
        <f>132053/12</f>
        <v>11004.416666666666</v>
      </c>
      <c r="X222" s="4">
        <f>132053/12</f>
        <v>11004.416666666666</v>
      </c>
      <c r="Y222" s="4">
        <f>132053/12</f>
        <v>11004.416666666666</v>
      </c>
      <c r="Z222" s="4">
        <f>136015/12</f>
        <v>11334.583333333334</v>
      </c>
      <c r="AA222" s="4">
        <f>136015/12</f>
        <v>11334.583333333334</v>
      </c>
      <c r="AB222" s="4">
        <f>138878/12</f>
        <v>11573.166666666666</v>
      </c>
      <c r="AC222" s="5" t="s">
        <v>451</v>
      </c>
    </row>
    <row r="223" spans="1:29" ht="15.5" x14ac:dyDescent="0.35">
      <c r="A223" s="2" t="s">
        <v>453</v>
      </c>
      <c r="B223" s="1" t="s">
        <v>454</v>
      </c>
      <c r="C223" s="4">
        <f>100969/12</f>
        <v>8414.0833333333339</v>
      </c>
      <c r="D223" s="4">
        <f>103998/12</f>
        <v>8666.5</v>
      </c>
      <c r="E223" s="4">
        <f>103998/12</f>
        <v>8666.5</v>
      </c>
      <c r="F223" s="4">
        <f>107118/12</f>
        <v>8926.5</v>
      </c>
      <c r="G223" s="4">
        <f>107118/12</f>
        <v>8926.5</v>
      </c>
      <c r="H223" s="4">
        <f>110331/12</f>
        <v>9194.25</v>
      </c>
      <c r="I223" s="4">
        <f>110331/12</f>
        <v>9194.25</v>
      </c>
      <c r="J223" s="4">
        <f>113641/12</f>
        <v>9470.0833333333339</v>
      </c>
      <c r="K223" s="4">
        <f>113641/12</f>
        <v>9470.0833333333339</v>
      </c>
      <c r="L223" s="4">
        <f>113641/12</f>
        <v>9470.0833333333339</v>
      </c>
      <c r="M223" s="4">
        <f>123687/12</f>
        <v>10307.25</v>
      </c>
      <c r="N223" s="4">
        <f>123687/12</f>
        <v>10307.25</v>
      </c>
      <c r="O223" s="4">
        <f>127397/12</f>
        <v>10616.416666666666</v>
      </c>
      <c r="P223" s="4">
        <f>127397/12</f>
        <v>10616.416666666666</v>
      </c>
      <c r="Q223" s="4">
        <f>127397/12</f>
        <v>10616.416666666666</v>
      </c>
      <c r="R223" s="4">
        <f>131219/12</f>
        <v>10934.916666666666</v>
      </c>
      <c r="S223" s="4">
        <f>131219/12</f>
        <v>10934.916666666666</v>
      </c>
      <c r="T223" s="4">
        <f>135156/12</f>
        <v>11263</v>
      </c>
      <c r="U223" s="4">
        <f>135156/12</f>
        <v>11263</v>
      </c>
      <c r="V223" s="4">
        <f>135156/12</f>
        <v>11263</v>
      </c>
      <c r="W223" s="4">
        <f>139211/12</f>
        <v>11600.916666666666</v>
      </c>
      <c r="X223" s="4">
        <f>139211/12</f>
        <v>11600.916666666666</v>
      </c>
      <c r="Y223" s="4">
        <f>139211/12</f>
        <v>11600.916666666666</v>
      </c>
      <c r="Z223" s="4">
        <f>143387/12</f>
        <v>11948.916666666666</v>
      </c>
      <c r="AA223" s="4">
        <f>143387/12</f>
        <v>11948.916666666666</v>
      </c>
      <c r="AB223" s="4">
        <f>146405/12</f>
        <v>12200.416666666666</v>
      </c>
      <c r="AC223" s="5" t="s">
        <v>453</v>
      </c>
    </row>
    <row r="224" spans="1:29" ht="15.5" x14ac:dyDescent="0.35">
      <c r="A224" s="2" t="s">
        <v>455</v>
      </c>
      <c r="B224" s="1" t="s">
        <v>456</v>
      </c>
      <c r="C224" s="4">
        <f>59859/12</f>
        <v>4988.25</v>
      </c>
      <c r="D224" s="4">
        <f>61655/12</f>
        <v>5137.916666666667</v>
      </c>
      <c r="E224" s="4">
        <f>61655/12</f>
        <v>5137.916666666667</v>
      </c>
      <c r="F224" s="4">
        <f>63505/12</f>
        <v>5292.083333333333</v>
      </c>
      <c r="G224" s="4">
        <f>63505/12</f>
        <v>5292.083333333333</v>
      </c>
      <c r="H224" s="4">
        <f>65410/12</f>
        <v>5450.833333333333</v>
      </c>
      <c r="I224" s="4">
        <f>65410/12</f>
        <v>5450.833333333333</v>
      </c>
      <c r="J224" s="4">
        <f>67372/12</f>
        <v>5614.333333333333</v>
      </c>
      <c r="K224" s="4">
        <f>67372/12</f>
        <v>5614.333333333333</v>
      </c>
      <c r="L224" s="4">
        <f>67372/12</f>
        <v>5614.333333333333</v>
      </c>
      <c r="M224" s="4">
        <f>92672/12</f>
        <v>7722.666666666667</v>
      </c>
      <c r="N224" s="4">
        <f>92672/12</f>
        <v>7722.666666666667</v>
      </c>
      <c r="O224" s="4">
        <f>95452/12</f>
        <v>7954.333333333333</v>
      </c>
      <c r="P224" s="4">
        <f>95452/12</f>
        <v>7954.333333333333</v>
      </c>
      <c r="Q224" s="4">
        <f>95452/12</f>
        <v>7954.333333333333</v>
      </c>
      <c r="R224" s="4">
        <f>98315/12</f>
        <v>8192.9166666666661</v>
      </c>
      <c r="S224" s="4">
        <f>98315/12</f>
        <v>8192.9166666666661</v>
      </c>
      <c r="T224" s="4">
        <f>101265/12</f>
        <v>8438.75</v>
      </c>
      <c r="U224" s="4">
        <f>101265/12</f>
        <v>8438.75</v>
      </c>
      <c r="V224" s="4">
        <f>101265/12</f>
        <v>8438.75</v>
      </c>
      <c r="W224" s="4">
        <f>104303/12</f>
        <v>8691.9166666666661</v>
      </c>
      <c r="X224" s="4">
        <f>104303/12</f>
        <v>8691.9166666666661</v>
      </c>
      <c r="Y224" s="4">
        <f>104303/12</f>
        <v>8691.9166666666661</v>
      </c>
      <c r="Z224" s="4">
        <f>107432/12</f>
        <v>8952.6666666666661</v>
      </c>
      <c r="AA224" s="4">
        <f>107432/12</f>
        <v>8952.6666666666661</v>
      </c>
      <c r="AB224" s="4">
        <f>125484/12</f>
        <v>10457</v>
      </c>
      <c r="AC224" s="5" t="s">
        <v>455</v>
      </c>
    </row>
    <row r="225" spans="1:29" ht="15.5" x14ac:dyDescent="0.35">
      <c r="A225" s="2" t="s">
        <v>457</v>
      </c>
      <c r="B225" s="1" t="s">
        <v>458</v>
      </c>
      <c r="C225" s="4">
        <f>97063/12</f>
        <v>8088.583333333333</v>
      </c>
      <c r="D225" s="4">
        <f>99975/12</f>
        <v>8331.25</v>
      </c>
      <c r="E225" s="4">
        <f>99975/12</f>
        <v>8331.25</v>
      </c>
      <c r="F225" s="4">
        <f>102974/12</f>
        <v>8581.1666666666661</v>
      </c>
      <c r="G225" s="4">
        <f>102974/12</f>
        <v>8581.1666666666661</v>
      </c>
      <c r="H225" s="4">
        <f>106063/12</f>
        <v>8838.5833333333339</v>
      </c>
      <c r="I225" s="4">
        <f>106063/12</f>
        <v>8838.5833333333339</v>
      </c>
      <c r="J225" s="4">
        <f>109245/12</f>
        <v>9103.75</v>
      </c>
      <c r="K225" s="4">
        <f>109245/12</f>
        <v>9103.75</v>
      </c>
      <c r="L225" s="4">
        <f>109245/12</f>
        <v>9103.75</v>
      </c>
      <c r="M225" s="4">
        <f>116266/12</f>
        <v>9688.8333333333339</v>
      </c>
      <c r="N225" s="4">
        <f>116266/12</f>
        <v>9688.8333333333339</v>
      </c>
      <c r="O225" s="4">
        <f>119754/12</f>
        <v>9979.5</v>
      </c>
      <c r="P225" s="4">
        <f>119754/12</f>
        <v>9979.5</v>
      </c>
      <c r="Q225" s="4">
        <f>119754/12</f>
        <v>9979.5</v>
      </c>
      <c r="R225" s="4">
        <f>123346/12</f>
        <v>10278.833333333334</v>
      </c>
      <c r="S225" s="4">
        <f>123346/12</f>
        <v>10278.833333333334</v>
      </c>
      <c r="T225" s="4">
        <f>127046/12</f>
        <v>10587.166666666666</v>
      </c>
      <c r="U225" s="4">
        <f>127046/12</f>
        <v>10587.166666666666</v>
      </c>
      <c r="V225" s="4">
        <f>127046/12</f>
        <v>10587.166666666666</v>
      </c>
      <c r="W225" s="4">
        <f>130858/12</f>
        <v>10904.833333333334</v>
      </c>
      <c r="X225" s="4">
        <f>130858/12</f>
        <v>10904.833333333334</v>
      </c>
      <c r="Y225" s="4">
        <f>130858/12</f>
        <v>10904.833333333334</v>
      </c>
      <c r="Z225" s="4">
        <f>134784/12</f>
        <v>11232</v>
      </c>
      <c r="AA225" s="4">
        <f>134784/12</f>
        <v>11232</v>
      </c>
      <c r="AB225" s="4">
        <f>135468/12</f>
        <v>11289</v>
      </c>
      <c r="AC225" s="5" t="s">
        <v>457</v>
      </c>
    </row>
    <row r="226" spans="1:29" ht="15.5" x14ac:dyDescent="0.35">
      <c r="A226" s="2" t="s">
        <v>459</v>
      </c>
      <c r="B226" s="1" t="s">
        <v>460</v>
      </c>
      <c r="C226" s="4">
        <f>63696/12</f>
        <v>5308</v>
      </c>
      <c r="D226" s="4">
        <f>65607/12</f>
        <v>5467.25</v>
      </c>
      <c r="E226" s="4">
        <f>65607/12</f>
        <v>5467.25</v>
      </c>
      <c r="F226" s="4">
        <f>67575/12</f>
        <v>5631.25</v>
      </c>
      <c r="G226" s="4">
        <f>67575/12</f>
        <v>5631.25</v>
      </c>
      <c r="H226" s="4">
        <f>69602/12</f>
        <v>5800.166666666667</v>
      </c>
      <c r="I226" s="4">
        <f>69602/12</f>
        <v>5800.166666666667</v>
      </c>
      <c r="J226" s="4">
        <f>71690/12</f>
        <v>5974.166666666667</v>
      </c>
      <c r="K226" s="4">
        <f>71690/12</f>
        <v>5974.166666666667</v>
      </c>
      <c r="L226" s="4">
        <f>71690/12</f>
        <v>5974.166666666667</v>
      </c>
      <c r="M226" s="4">
        <f>80238/12</f>
        <v>6686.5</v>
      </c>
      <c r="N226" s="4">
        <f>80238/12</f>
        <v>6686.5</v>
      </c>
      <c r="O226" s="4">
        <f>82645/12</f>
        <v>6887.083333333333</v>
      </c>
      <c r="P226" s="4">
        <f>82645/12</f>
        <v>6887.083333333333</v>
      </c>
      <c r="Q226" s="4">
        <f>82645/12</f>
        <v>6887.083333333333</v>
      </c>
      <c r="R226" s="4">
        <f>85124/12</f>
        <v>7093.666666666667</v>
      </c>
      <c r="S226" s="4">
        <f>85124/12</f>
        <v>7093.666666666667</v>
      </c>
      <c r="T226" s="4">
        <f>87678/12</f>
        <v>7306.5</v>
      </c>
      <c r="U226" s="4">
        <f>87678/12</f>
        <v>7306.5</v>
      </c>
      <c r="V226" s="4">
        <f>87678/12</f>
        <v>7306.5</v>
      </c>
      <c r="W226" s="4">
        <f>90309/12</f>
        <v>7525.75</v>
      </c>
      <c r="X226" s="4">
        <f>90309/12</f>
        <v>7525.75</v>
      </c>
      <c r="Y226" s="4">
        <f>90309/12</f>
        <v>7525.75</v>
      </c>
      <c r="Z226" s="4">
        <f>93018/12</f>
        <v>7751.5</v>
      </c>
      <c r="AA226" s="4">
        <f>93018/12</f>
        <v>7751.5</v>
      </c>
      <c r="AB226" s="4">
        <f>96780/12</f>
        <v>8065</v>
      </c>
      <c r="AC226" s="6" t="s">
        <v>278</v>
      </c>
    </row>
    <row r="227" spans="1:29" ht="15.5" x14ac:dyDescent="0.35">
      <c r="A227" s="2" t="s">
        <v>461</v>
      </c>
      <c r="B227" s="1" t="s">
        <v>462</v>
      </c>
      <c r="C227" s="4">
        <f>92107/12</f>
        <v>7675.583333333333</v>
      </c>
      <c r="D227" s="4">
        <f>94870/12</f>
        <v>7905.833333333333</v>
      </c>
      <c r="E227" s="4">
        <f>94870/12</f>
        <v>7905.833333333333</v>
      </c>
      <c r="F227" s="4">
        <f>97716/12</f>
        <v>8143</v>
      </c>
      <c r="G227" s="4">
        <f>97716/12</f>
        <v>8143</v>
      </c>
      <c r="H227" s="4">
        <f>100647/12</f>
        <v>8387.25</v>
      </c>
      <c r="I227" s="4">
        <f>100647/12</f>
        <v>8387.25</v>
      </c>
      <c r="J227" s="4">
        <f>103667/12</f>
        <v>8638.9166666666661</v>
      </c>
      <c r="K227" s="4">
        <f>103667/12</f>
        <v>8638.9166666666661</v>
      </c>
      <c r="L227" s="4">
        <f>103667/12</f>
        <v>8638.9166666666661</v>
      </c>
      <c r="M227" s="4">
        <f>112831/12</f>
        <v>9402.5833333333339</v>
      </c>
      <c r="N227" s="4">
        <f>112831/12</f>
        <v>9402.5833333333339</v>
      </c>
      <c r="O227" s="4">
        <f>116216/12</f>
        <v>9684.6666666666661</v>
      </c>
      <c r="P227" s="4">
        <f>116216/12</f>
        <v>9684.6666666666661</v>
      </c>
      <c r="Q227" s="4">
        <f>116216/12</f>
        <v>9684.6666666666661</v>
      </c>
      <c r="R227" s="4">
        <f>119702/12</f>
        <v>9975.1666666666661</v>
      </c>
      <c r="S227" s="4">
        <f>119702/12</f>
        <v>9975.1666666666661</v>
      </c>
      <c r="T227" s="4">
        <f>123293/12</f>
        <v>10274.416666666666</v>
      </c>
      <c r="U227" s="4">
        <f>123293/12</f>
        <v>10274.416666666666</v>
      </c>
      <c r="V227" s="4">
        <f>123293/12</f>
        <v>10274.416666666666</v>
      </c>
      <c r="W227" s="4">
        <f>126992/12</f>
        <v>10582.666666666666</v>
      </c>
      <c r="X227" s="4">
        <f>126992/12</f>
        <v>10582.666666666666</v>
      </c>
      <c r="Y227" s="4">
        <f>126992/12</f>
        <v>10582.666666666666</v>
      </c>
      <c r="Z227" s="4">
        <f>130802/12</f>
        <v>10900.166666666666</v>
      </c>
      <c r="AA227" s="4">
        <f>130802/12</f>
        <v>10900.166666666666</v>
      </c>
      <c r="AB227" s="4">
        <f>133555/12</f>
        <v>11129.583333333334</v>
      </c>
      <c r="AC227" s="5" t="s">
        <v>463</v>
      </c>
    </row>
    <row r="228" spans="1:29" ht="15.5" x14ac:dyDescent="0.35">
      <c r="A228" s="2" t="s">
        <v>464</v>
      </c>
      <c r="B228" s="1" t="s">
        <v>465</v>
      </c>
      <c r="C228" s="4">
        <f>111425/12</f>
        <v>9285.4166666666661</v>
      </c>
      <c r="D228" s="4">
        <f>114768/12</f>
        <v>9564</v>
      </c>
      <c r="E228" s="4">
        <f>114768/12</f>
        <v>9564</v>
      </c>
      <c r="F228" s="4">
        <f>118211/12</f>
        <v>9850.9166666666661</v>
      </c>
      <c r="G228" s="4">
        <f>118211/12</f>
        <v>9850.9166666666661</v>
      </c>
      <c r="H228" s="4">
        <f>121758/12</f>
        <v>10146.5</v>
      </c>
      <c r="I228" s="4">
        <f>121758/12</f>
        <v>10146.5</v>
      </c>
      <c r="J228" s="4">
        <f>125410/12</f>
        <v>10450.833333333334</v>
      </c>
      <c r="K228" s="4">
        <f>125410/12</f>
        <v>10450.833333333334</v>
      </c>
      <c r="L228" s="4">
        <f>125410/12</f>
        <v>10450.833333333334</v>
      </c>
      <c r="M228" s="4">
        <f>136496/12</f>
        <v>11374.666666666666</v>
      </c>
      <c r="N228" s="4">
        <f>136496/12</f>
        <v>11374.666666666666</v>
      </c>
      <c r="O228" s="4">
        <f>140591/12</f>
        <v>11715.916666666666</v>
      </c>
      <c r="P228" s="4">
        <f>140591/12</f>
        <v>11715.916666666666</v>
      </c>
      <c r="Q228" s="4">
        <f>140591/12</f>
        <v>11715.916666666666</v>
      </c>
      <c r="R228" s="4">
        <f>144809/12</f>
        <v>12067.416666666666</v>
      </c>
      <c r="S228" s="4">
        <f>144809/12</f>
        <v>12067.416666666666</v>
      </c>
      <c r="T228" s="4">
        <f>149153/12</f>
        <v>12429.416666666666</v>
      </c>
      <c r="U228" s="4">
        <f>149153/12</f>
        <v>12429.416666666666</v>
      </c>
      <c r="V228" s="4">
        <f>149153/12</f>
        <v>12429.416666666666</v>
      </c>
      <c r="W228" s="4">
        <f>153628/12</f>
        <v>12802.333333333334</v>
      </c>
      <c r="X228" s="4">
        <f>153628/12</f>
        <v>12802.333333333334</v>
      </c>
      <c r="Y228" s="4">
        <f>153628/12</f>
        <v>12802.333333333334</v>
      </c>
      <c r="Z228" s="4">
        <f>158236/12</f>
        <v>13186.333333333334</v>
      </c>
      <c r="AA228" s="4">
        <f>158236/12</f>
        <v>13186.333333333334</v>
      </c>
      <c r="AB228" s="4">
        <f>161567/12</f>
        <v>13463.916666666666</v>
      </c>
      <c r="AC228" s="5" t="s">
        <v>464</v>
      </c>
    </row>
    <row r="229" spans="1:29" ht="15.5" x14ac:dyDescent="0.35">
      <c r="A229" s="2" t="s">
        <v>466</v>
      </c>
      <c r="B229" s="1" t="s">
        <v>467</v>
      </c>
      <c r="C229" s="4">
        <f>103317/12</f>
        <v>8609.75</v>
      </c>
      <c r="D229" s="4">
        <f>106417/12</f>
        <v>8868.0833333333339</v>
      </c>
      <c r="E229" s="4">
        <f>106417/12</f>
        <v>8868.0833333333339</v>
      </c>
      <c r="F229" s="4">
        <f>109609/12</f>
        <v>9134.0833333333339</v>
      </c>
      <c r="G229" s="4">
        <f>109609/12</f>
        <v>9134.0833333333339</v>
      </c>
      <c r="H229" s="4">
        <f>112898/12</f>
        <v>9408.1666666666661</v>
      </c>
      <c r="I229" s="4">
        <f>112898/12</f>
        <v>9408.1666666666661</v>
      </c>
      <c r="J229" s="4">
        <f>116284/12</f>
        <v>9690.3333333333339</v>
      </c>
      <c r="K229" s="4">
        <f>116284/12</f>
        <v>9690.3333333333339</v>
      </c>
      <c r="L229" s="4">
        <f>116284/12</f>
        <v>9690.3333333333339</v>
      </c>
      <c r="M229" s="4">
        <f>126564/12</f>
        <v>10547</v>
      </c>
      <c r="N229" s="4">
        <f>126564/12</f>
        <v>10547</v>
      </c>
      <c r="O229" s="4">
        <f>130361/12</f>
        <v>10863.416666666666</v>
      </c>
      <c r="P229" s="4">
        <f>130361/12</f>
        <v>10863.416666666666</v>
      </c>
      <c r="Q229" s="4">
        <f>130361/12</f>
        <v>10863.416666666666</v>
      </c>
      <c r="R229" s="4">
        <f>134271/12</f>
        <v>11189.25</v>
      </c>
      <c r="S229" s="4">
        <f>134271/12</f>
        <v>11189.25</v>
      </c>
      <c r="T229" s="4">
        <f>138299/12</f>
        <v>11524.916666666666</v>
      </c>
      <c r="U229" s="4">
        <f>138299/12</f>
        <v>11524.916666666666</v>
      </c>
      <c r="V229" s="4">
        <f>138299/12</f>
        <v>11524.916666666666</v>
      </c>
      <c r="W229" s="4">
        <f>142448/12</f>
        <v>11870.666666666666</v>
      </c>
      <c r="X229" s="4">
        <f>142448/12</f>
        <v>11870.666666666666</v>
      </c>
      <c r="Y229" s="4">
        <f>142448/12</f>
        <v>11870.666666666666</v>
      </c>
      <c r="Z229" s="4">
        <f>146722/12</f>
        <v>12226.833333333334</v>
      </c>
      <c r="AA229" s="4">
        <f>146722/12</f>
        <v>12226.833333333334</v>
      </c>
      <c r="AB229" s="4">
        <f>149810/12</f>
        <v>12484.166666666666</v>
      </c>
      <c r="AC229" s="5" t="s">
        <v>466</v>
      </c>
    </row>
    <row r="230" spans="1:29" ht="15.5" x14ac:dyDescent="0.35">
      <c r="A230" s="2" t="s">
        <v>468</v>
      </c>
      <c r="B230" s="1" t="s">
        <v>469</v>
      </c>
      <c r="C230" s="4">
        <f>86285/12</f>
        <v>7190.416666666667</v>
      </c>
      <c r="D230" s="4">
        <f>88874/12</f>
        <v>7406.166666666667</v>
      </c>
      <c r="E230" s="4">
        <f>88874/12</f>
        <v>7406.166666666667</v>
      </c>
      <c r="F230" s="4">
        <f>91540/12</f>
        <v>7628.333333333333</v>
      </c>
      <c r="G230" s="4">
        <f>91540/12</f>
        <v>7628.333333333333</v>
      </c>
      <c r="H230" s="4">
        <f>94286/12</f>
        <v>7857.166666666667</v>
      </c>
      <c r="I230" s="4">
        <f>94286/12</f>
        <v>7857.166666666667</v>
      </c>
      <c r="J230" s="4">
        <f>97115/12</f>
        <v>8092.916666666667</v>
      </c>
      <c r="K230" s="4">
        <f>97115/12</f>
        <v>8092.916666666667</v>
      </c>
      <c r="L230" s="4">
        <f>97115/12</f>
        <v>8092.916666666667</v>
      </c>
      <c r="M230" s="4">
        <f>105699/12</f>
        <v>8808.25</v>
      </c>
      <c r="N230" s="4">
        <f>105699/12</f>
        <v>8808.25</v>
      </c>
      <c r="O230" s="4">
        <f>108870/12</f>
        <v>9072.5</v>
      </c>
      <c r="P230" s="4">
        <f>108870/12</f>
        <v>9072.5</v>
      </c>
      <c r="Q230" s="4">
        <f>108870/12</f>
        <v>9072.5</v>
      </c>
      <c r="R230" s="4">
        <f>112136/12</f>
        <v>9344.6666666666661</v>
      </c>
      <c r="S230" s="4">
        <f>112136/12</f>
        <v>9344.6666666666661</v>
      </c>
      <c r="T230" s="4">
        <f>115501/12</f>
        <v>9625.0833333333339</v>
      </c>
      <c r="U230" s="4">
        <f>115501/12</f>
        <v>9625.0833333333339</v>
      </c>
      <c r="V230" s="4">
        <f>115501/12</f>
        <v>9625.0833333333339</v>
      </c>
      <c r="W230" s="4">
        <f>118966/12</f>
        <v>9913.8333333333339</v>
      </c>
      <c r="X230" s="4">
        <f>118966/12</f>
        <v>9913.8333333333339</v>
      </c>
      <c r="Y230" s="4">
        <f>118966/12</f>
        <v>9913.8333333333339</v>
      </c>
      <c r="Z230" s="4">
        <f>122534/12</f>
        <v>10211.166666666666</v>
      </c>
      <c r="AA230" s="4">
        <f>122534/12</f>
        <v>10211.166666666666</v>
      </c>
      <c r="AB230" s="4">
        <f>125113/12</f>
        <v>10426.083333333334</v>
      </c>
      <c r="AC230" s="5" t="s">
        <v>468</v>
      </c>
    </row>
    <row r="231" spans="1:29" ht="15.5" x14ac:dyDescent="0.35">
      <c r="A231" s="2" t="s">
        <v>470</v>
      </c>
      <c r="B231" s="1" t="s">
        <v>471</v>
      </c>
      <c r="C231" s="4">
        <f>84641/12</f>
        <v>7053.416666666667</v>
      </c>
      <c r="D231" s="4">
        <f>87181/12</f>
        <v>7265.083333333333</v>
      </c>
      <c r="E231" s="4">
        <f>87181/12</f>
        <v>7265.083333333333</v>
      </c>
      <c r="F231" s="4">
        <f>89796/12</f>
        <v>7483</v>
      </c>
      <c r="G231" s="4">
        <f>89796/12</f>
        <v>7483</v>
      </c>
      <c r="H231" s="4">
        <f>92490/12</f>
        <v>7707.5</v>
      </c>
      <c r="I231" s="4">
        <f>92490/12</f>
        <v>7707.5</v>
      </c>
      <c r="J231" s="4">
        <f>95265/12</f>
        <v>7938.75</v>
      </c>
      <c r="K231" s="4">
        <f>95265/12</f>
        <v>7938.75</v>
      </c>
      <c r="L231" s="4">
        <f>95265/12</f>
        <v>7938.75</v>
      </c>
      <c r="M231" s="4">
        <f>103686/12</f>
        <v>8640.5</v>
      </c>
      <c r="N231" s="4">
        <f>103686/12</f>
        <v>8640.5</v>
      </c>
      <c r="O231" s="4">
        <f>106796/12</f>
        <v>8899.6666666666661</v>
      </c>
      <c r="P231" s="4">
        <f>106796/12</f>
        <v>8899.6666666666661</v>
      </c>
      <c r="Q231" s="4">
        <f>106796/12</f>
        <v>8899.6666666666661</v>
      </c>
      <c r="R231" s="4">
        <f>110000/12</f>
        <v>9166.6666666666661</v>
      </c>
      <c r="S231" s="4">
        <f>110000/12</f>
        <v>9166.6666666666661</v>
      </c>
      <c r="T231" s="4">
        <f>113300/12</f>
        <v>9441.6666666666661</v>
      </c>
      <c r="U231" s="4">
        <f>113300/12</f>
        <v>9441.6666666666661</v>
      </c>
      <c r="V231" s="4">
        <f>113300/12</f>
        <v>9441.6666666666661</v>
      </c>
      <c r="W231" s="4">
        <f>116699/12</f>
        <v>9724.9166666666661</v>
      </c>
      <c r="X231" s="4">
        <f>116699/12</f>
        <v>9724.9166666666661</v>
      </c>
      <c r="Y231" s="4">
        <f>116699/12</f>
        <v>9724.9166666666661</v>
      </c>
      <c r="Z231" s="4">
        <f>120200/12</f>
        <v>10016.666666666666</v>
      </c>
      <c r="AA231" s="4">
        <f>120200/12</f>
        <v>10016.666666666666</v>
      </c>
      <c r="AB231" s="4">
        <f>122730/12</f>
        <v>10227.5</v>
      </c>
      <c r="AC231" s="5" t="s">
        <v>470</v>
      </c>
    </row>
    <row r="232" spans="1:29" ht="15.5" x14ac:dyDescent="0.35">
      <c r="A232" s="2" t="s">
        <v>472</v>
      </c>
      <c r="B232" s="1" t="s">
        <v>473</v>
      </c>
      <c r="C232" s="4">
        <f>103416/12</f>
        <v>8618</v>
      </c>
      <c r="D232" s="4">
        <f>106519/12</f>
        <v>8876.5833333333339</v>
      </c>
      <c r="E232" s="4">
        <f>106519/12</f>
        <v>8876.5833333333339</v>
      </c>
      <c r="F232" s="4">
        <f>109714/12</f>
        <v>9142.8333333333339</v>
      </c>
      <c r="G232" s="4">
        <f>109714/12</f>
        <v>9142.8333333333339</v>
      </c>
      <c r="H232" s="4">
        <f>113006/12</f>
        <v>9417.1666666666661</v>
      </c>
      <c r="I232" s="4">
        <f>113006/12</f>
        <v>9417.1666666666661</v>
      </c>
      <c r="J232" s="4">
        <f>116396/12</f>
        <v>9699.6666666666661</v>
      </c>
      <c r="K232" s="4">
        <f>116396/12</f>
        <v>9699.6666666666661</v>
      </c>
      <c r="L232" s="4">
        <f>116396/12</f>
        <v>9699.6666666666661</v>
      </c>
      <c r="M232" s="4">
        <f>126685/12</f>
        <v>10557.083333333334</v>
      </c>
      <c r="N232" s="4">
        <f>126685/12</f>
        <v>10557.083333333334</v>
      </c>
      <c r="O232" s="4">
        <f>130485/12</f>
        <v>10873.75</v>
      </c>
      <c r="P232" s="4">
        <f>130485/12</f>
        <v>10873.75</v>
      </c>
      <c r="Q232" s="4">
        <f>130485/12</f>
        <v>10873.75</v>
      </c>
      <c r="R232" s="4">
        <f>134400/12</f>
        <v>11200</v>
      </c>
      <c r="S232" s="4">
        <f>134400/12</f>
        <v>11200</v>
      </c>
      <c r="T232" s="4">
        <f>138432/12</f>
        <v>11536</v>
      </c>
      <c r="U232" s="4">
        <f>138432/12</f>
        <v>11536</v>
      </c>
      <c r="V232" s="4">
        <f>138432/12</f>
        <v>11536</v>
      </c>
      <c r="W232" s="4">
        <f>142585/12</f>
        <v>11882.083333333334</v>
      </c>
      <c r="X232" s="4">
        <f>142585/12</f>
        <v>11882.083333333334</v>
      </c>
      <c r="Y232" s="4">
        <f>142585/12</f>
        <v>11882.083333333334</v>
      </c>
      <c r="Z232" s="4">
        <f>146862/12</f>
        <v>12238.5</v>
      </c>
      <c r="AA232" s="4">
        <f>146862/12</f>
        <v>12238.5</v>
      </c>
      <c r="AB232" s="4">
        <f>149953/12</f>
        <v>12496.083333333334</v>
      </c>
      <c r="AC232" s="5" t="s">
        <v>472</v>
      </c>
    </row>
    <row r="233" spans="1:29" ht="15.5" x14ac:dyDescent="0.35">
      <c r="A233" s="2" t="s">
        <v>474</v>
      </c>
      <c r="B233" s="1" t="s">
        <v>475</v>
      </c>
      <c r="C233" s="4">
        <f>64062/12</f>
        <v>5338.5</v>
      </c>
      <c r="D233" s="4">
        <f>65984/12</f>
        <v>5498.666666666667</v>
      </c>
      <c r="E233" s="4">
        <f>65984/12</f>
        <v>5498.666666666667</v>
      </c>
      <c r="F233" s="4">
        <f>67963/12</f>
        <v>5663.583333333333</v>
      </c>
      <c r="G233" s="4">
        <f>67963/12</f>
        <v>5663.583333333333</v>
      </c>
      <c r="H233" s="4">
        <f>70002/12</f>
        <v>5833.5</v>
      </c>
      <c r="I233" s="4">
        <f>70002/12</f>
        <v>5833.5</v>
      </c>
      <c r="J233" s="4">
        <f>72102/12</f>
        <v>6008.5</v>
      </c>
      <c r="K233" s="4">
        <f>72102/12</f>
        <v>6008.5</v>
      </c>
      <c r="L233" s="4">
        <f>72102/12</f>
        <v>6008.5</v>
      </c>
      <c r="M233" s="4">
        <f>78476/12</f>
        <v>6539.666666666667</v>
      </c>
      <c r="N233" s="4">
        <f>78476/12</f>
        <v>6539.666666666667</v>
      </c>
      <c r="O233" s="4">
        <f>80830/12</f>
        <v>6735.833333333333</v>
      </c>
      <c r="P233" s="4">
        <f>80830/12</f>
        <v>6735.833333333333</v>
      </c>
      <c r="Q233" s="4">
        <f>80830/12</f>
        <v>6735.833333333333</v>
      </c>
      <c r="R233" s="4">
        <f>83255/12</f>
        <v>6937.916666666667</v>
      </c>
      <c r="S233" s="4">
        <f>83255/12</f>
        <v>6937.916666666667</v>
      </c>
      <c r="T233" s="4">
        <f>85753/12</f>
        <v>7146.083333333333</v>
      </c>
      <c r="U233" s="4">
        <f>85753/12</f>
        <v>7146.083333333333</v>
      </c>
      <c r="V233" s="4">
        <f>85753/12</f>
        <v>7146.083333333333</v>
      </c>
      <c r="W233" s="4">
        <f>88325/12</f>
        <v>7360.416666666667</v>
      </c>
      <c r="X233" s="4">
        <f>88325/12</f>
        <v>7360.416666666667</v>
      </c>
      <c r="Y233" s="4">
        <f>88325/12</f>
        <v>7360.416666666667</v>
      </c>
      <c r="Z233" s="4">
        <f>90975/12</f>
        <v>7581.25</v>
      </c>
      <c r="AA233" s="4">
        <f>90975/12</f>
        <v>7581.25</v>
      </c>
      <c r="AB233" s="4">
        <f>92890/12</f>
        <v>7740.833333333333</v>
      </c>
      <c r="AC233" s="5" t="s">
        <v>315</v>
      </c>
    </row>
    <row r="234" spans="1:29" ht="15.5" x14ac:dyDescent="0.35">
      <c r="A234" s="2" t="s">
        <v>476</v>
      </c>
      <c r="B234" s="1" t="s">
        <v>477</v>
      </c>
      <c r="C234" s="4">
        <f>68870/12</f>
        <v>5739.166666666667</v>
      </c>
      <c r="D234" s="4">
        <f>70936/12</f>
        <v>5911.333333333333</v>
      </c>
      <c r="E234" s="4">
        <f>70936/12</f>
        <v>5911.333333333333</v>
      </c>
      <c r="F234" s="4">
        <f>73064/12</f>
        <v>6088.666666666667</v>
      </c>
      <c r="G234" s="4">
        <f>73064/12</f>
        <v>6088.666666666667</v>
      </c>
      <c r="H234" s="4">
        <f>75256/12</f>
        <v>6271.333333333333</v>
      </c>
      <c r="I234" s="4">
        <f>75256/12</f>
        <v>6271.333333333333</v>
      </c>
      <c r="J234" s="4">
        <f>77514/12</f>
        <v>6459.5</v>
      </c>
      <c r="K234" s="4">
        <f>77514/12</f>
        <v>6459.5</v>
      </c>
      <c r="L234" s="4">
        <f>77514/12</f>
        <v>6459.5</v>
      </c>
      <c r="M234" s="4">
        <f>84366/12</f>
        <v>7030.5</v>
      </c>
      <c r="N234" s="4">
        <f>84366/12</f>
        <v>7030.5</v>
      </c>
      <c r="O234" s="4">
        <f>86897/12</f>
        <v>7241.416666666667</v>
      </c>
      <c r="P234" s="4">
        <f>86897/12</f>
        <v>7241.416666666667</v>
      </c>
      <c r="Q234" s="4">
        <f>86897/12</f>
        <v>7241.416666666667</v>
      </c>
      <c r="R234" s="4">
        <f>89504/12</f>
        <v>7458.666666666667</v>
      </c>
      <c r="S234" s="4">
        <f>89504/12</f>
        <v>7458.666666666667</v>
      </c>
      <c r="T234" s="4">
        <f>92189/12</f>
        <v>7682.416666666667</v>
      </c>
      <c r="U234" s="4">
        <f>92189/12</f>
        <v>7682.416666666667</v>
      </c>
      <c r="V234" s="4">
        <f>92189/12</f>
        <v>7682.416666666667</v>
      </c>
      <c r="W234" s="4">
        <f>94954/12</f>
        <v>7912.833333333333</v>
      </c>
      <c r="X234" s="4">
        <f>94954/12</f>
        <v>7912.833333333333</v>
      </c>
      <c r="Y234" s="4">
        <f>94954/12</f>
        <v>7912.833333333333</v>
      </c>
      <c r="Z234" s="4">
        <f>97803/12</f>
        <v>8150.25</v>
      </c>
      <c r="AA234" s="4">
        <f>97803/12</f>
        <v>8150.25</v>
      </c>
      <c r="AB234" s="4">
        <f>99861/12</f>
        <v>8321.75</v>
      </c>
      <c r="AC234" s="5" t="s">
        <v>476</v>
      </c>
    </row>
    <row r="235" spans="1:29" ht="15.5" x14ac:dyDescent="0.35">
      <c r="A235" s="2" t="s">
        <v>478</v>
      </c>
      <c r="B235" s="1" t="s">
        <v>479</v>
      </c>
      <c r="C235" s="4">
        <f>79042/12</f>
        <v>6586.833333333333</v>
      </c>
      <c r="D235" s="4">
        <f>81413/12</f>
        <v>6784.416666666667</v>
      </c>
      <c r="E235" s="4">
        <f>81413/12</f>
        <v>6784.416666666667</v>
      </c>
      <c r="F235" s="4">
        <f>83856/12</f>
        <v>6988</v>
      </c>
      <c r="G235" s="4">
        <f>83856/12</f>
        <v>6988</v>
      </c>
      <c r="H235" s="4">
        <f>86372/12</f>
        <v>7197.666666666667</v>
      </c>
      <c r="I235" s="4">
        <f>86372/12</f>
        <v>7197.666666666667</v>
      </c>
      <c r="J235" s="4">
        <f>88963/12</f>
        <v>7413.583333333333</v>
      </c>
      <c r="K235" s="4">
        <f>88963/12</f>
        <v>7413.583333333333</v>
      </c>
      <c r="L235" s="4">
        <f>88963/12</f>
        <v>7413.583333333333</v>
      </c>
      <c r="M235" s="4">
        <f>96827/12</f>
        <v>8068.916666666667</v>
      </c>
      <c r="N235" s="4">
        <f>96827/12</f>
        <v>8068.916666666667</v>
      </c>
      <c r="O235" s="4">
        <f>99731/12</f>
        <v>8310.9166666666661</v>
      </c>
      <c r="P235" s="4">
        <f>99731/12</f>
        <v>8310.9166666666661</v>
      </c>
      <c r="Q235" s="4">
        <f>99731/12</f>
        <v>8310.9166666666661</v>
      </c>
      <c r="R235" s="4">
        <f>102723/12</f>
        <v>8560.25</v>
      </c>
      <c r="S235" s="4">
        <f>102723/12</f>
        <v>8560.25</v>
      </c>
      <c r="T235" s="4">
        <f>105805/12</f>
        <v>8817.0833333333339</v>
      </c>
      <c r="U235" s="4">
        <f>105805/12</f>
        <v>8817.0833333333339</v>
      </c>
      <c r="V235" s="4">
        <f>105805/12</f>
        <v>8817.0833333333339</v>
      </c>
      <c r="W235" s="4">
        <f>108979/12</f>
        <v>9081.5833333333339</v>
      </c>
      <c r="X235" s="4">
        <f>108979/12</f>
        <v>9081.5833333333339</v>
      </c>
      <c r="Y235" s="4">
        <f>108979/12</f>
        <v>9081.5833333333339</v>
      </c>
      <c r="Z235" s="4">
        <f>112249/12</f>
        <v>9354.0833333333339</v>
      </c>
      <c r="AA235" s="4">
        <f>112249/12</f>
        <v>9354.0833333333339</v>
      </c>
      <c r="AB235" s="4">
        <f>114611/12</f>
        <v>9550.9166666666661</v>
      </c>
      <c r="AC235" s="5" t="s">
        <v>478</v>
      </c>
    </row>
    <row r="236" spans="1:29" ht="15.5" x14ac:dyDescent="0.35">
      <c r="A236" s="2" t="s">
        <v>480</v>
      </c>
      <c r="B236" s="1" t="s">
        <v>481</v>
      </c>
      <c r="C236" s="4">
        <f>90920/12</f>
        <v>7576.666666666667</v>
      </c>
      <c r="D236" s="4">
        <f>93648/12</f>
        <v>7804</v>
      </c>
      <c r="E236" s="4">
        <f>93648/12</f>
        <v>7804</v>
      </c>
      <c r="F236" s="4">
        <f>96457/12</f>
        <v>8038.083333333333</v>
      </c>
      <c r="G236" s="4">
        <f>96457/12</f>
        <v>8038.083333333333</v>
      </c>
      <c r="H236" s="4">
        <f>99351/12</f>
        <v>8279.25</v>
      </c>
      <c r="I236" s="4">
        <f>99351/12</f>
        <v>8279.25</v>
      </c>
      <c r="J236" s="4">
        <f>102331/12</f>
        <v>8527.5833333333339</v>
      </c>
      <c r="K236" s="4">
        <f>102331/12</f>
        <v>8527.5833333333339</v>
      </c>
      <c r="L236" s="4">
        <f>102331/12</f>
        <v>8527.5833333333339</v>
      </c>
      <c r="M236" s="4">
        <f>111377/12</f>
        <v>9281.4166666666661</v>
      </c>
      <c r="N236" s="4">
        <f>111377/12</f>
        <v>9281.4166666666661</v>
      </c>
      <c r="O236" s="4">
        <f>114719/12</f>
        <v>9559.9166666666661</v>
      </c>
      <c r="P236" s="4">
        <f>114719/12</f>
        <v>9559.9166666666661</v>
      </c>
      <c r="Q236" s="4">
        <f>114719/12</f>
        <v>9559.9166666666661</v>
      </c>
      <c r="R236" s="4">
        <f>118160/12</f>
        <v>9846.6666666666661</v>
      </c>
      <c r="S236" s="4">
        <f>118160/12</f>
        <v>9846.6666666666661</v>
      </c>
      <c r="T236" s="4">
        <f>121705/12</f>
        <v>10142.083333333334</v>
      </c>
      <c r="U236" s="4">
        <f>121705/12</f>
        <v>10142.083333333334</v>
      </c>
      <c r="V236" s="4">
        <f>121705/12</f>
        <v>10142.083333333334</v>
      </c>
      <c r="W236" s="4">
        <f>125356/12</f>
        <v>10446.333333333334</v>
      </c>
      <c r="X236" s="4">
        <f>125356/12</f>
        <v>10446.333333333334</v>
      </c>
      <c r="Y236" s="4">
        <f>125356/12</f>
        <v>10446.333333333334</v>
      </c>
      <c r="Z236" s="4">
        <f>129117/12</f>
        <v>10759.75</v>
      </c>
      <c r="AA236" s="4">
        <f>129117/12</f>
        <v>10759.75</v>
      </c>
      <c r="AB236" s="4">
        <f>131834/12</f>
        <v>10986.166666666666</v>
      </c>
      <c r="AC236" s="5" t="s">
        <v>480</v>
      </c>
    </row>
    <row r="237" spans="1:29" ht="15.5" x14ac:dyDescent="0.35">
      <c r="A237" s="2" t="s">
        <v>523</v>
      </c>
      <c r="B237" s="1" t="s">
        <v>483</v>
      </c>
      <c r="C237" s="4">
        <f>89536/12</f>
        <v>7461.333333333333</v>
      </c>
      <c r="D237" s="4">
        <f>92222/12</f>
        <v>7685.166666666667</v>
      </c>
      <c r="E237" s="4">
        <f>92222/12</f>
        <v>7685.166666666667</v>
      </c>
      <c r="F237" s="4">
        <f>94989/12</f>
        <v>7915.75</v>
      </c>
      <c r="G237" s="4">
        <f>94989/12</f>
        <v>7915.75</v>
      </c>
      <c r="H237" s="4">
        <f>97838/12</f>
        <v>8153.166666666667</v>
      </c>
      <c r="I237" s="4">
        <f>97838/12</f>
        <v>8153.166666666667</v>
      </c>
      <c r="J237" s="4">
        <f>100773/12</f>
        <v>8397.75</v>
      </c>
      <c r="K237" s="4">
        <f>100773/12</f>
        <v>8397.75</v>
      </c>
      <c r="L237" s="4">
        <f>100773/12</f>
        <v>8397.75</v>
      </c>
      <c r="M237" s="4">
        <f>109681/12</f>
        <v>9140.0833333333339</v>
      </c>
      <c r="N237" s="4">
        <f>109681/12</f>
        <v>9140.0833333333339</v>
      </c>
      <c r="O237" s="4">
        <f>112972/12</f>
        <v>9414.3333333333339</v>
      </c>
      <c r="P237" s="4">
        <f>112972/12</f>
        <v>9414.3333333333339</v>
      </c>
      <c r="Q237" s="4">
        <f>112972/12</f>
        <v>9414.3333333333339</v>
      </c>
      <c r="R237" s="4">
        <f>116361/12</f>
        <v>9696.75</v>
      </c>
      <c r="S237" s="4">
        <f>116361/12</f>
        <v>9696.75</v>
      </c>
      <c r="T237" s="4">
        <f>119852/12</f>
        <v>9987.6666666666661</v>
      </c>
      <c r="U237" s="4">
        <f>119852/12</f>
        <v>9987.6666666666661</v>
      </c>
      <c r="V237" s="4">
        <f>119852/12</f>
        <v>9987.6666666666661</v>
      </c>
      <c r="W237" s="4">
        <f>123447/12</f>
        <v>10287.25</v>
      </c>
      <c r="X237" s="4">
        <f>123447/12</f>
        <v>10287.25</v>
      </c>
      <c r="Y237" s="4">
        <f>123447/12</f>
        <v>10287.25</v>
      </c>
      <c r="Z237" s="4">
        <f>127151/12</f>
        <v>10595.916666666666</v>
      </c>
      <c r="AA237" s="4">
        <f>127151/12</f>
        <v>10595.916666666666</v>
      </c>
      <c r="AB237" s="4">
        <f>129827/12</f>
        <v>10818.916666666666</v>
      </c>
      <c r="AC237" s="5" t="s">
        <v>482</v>
      </c>
    </row>
    <row r="238" spans="1:29" ht="15.5" x14ac:dyDescent="0.35">
      <c r="A238" s="2" t="s">
        <v>484</v>
      </c>
      <c r="B238" s="1" t="s">
        <v>485</v>
      </c>
      <c r="C238" s="4">
        <f>68919/12</f>
        <v>5743.25</v>
      </c>
      <c r="D238" s="4">
        <f>70987/12</f>
        <v>5915.583333333333</v>
      </c>
      <c r="E238" s="4">
        <f>70987/12</f>
        <v>5915.583333333333</v>
      </c>
      <c r="F238" s="4">
        <f>73117/12</f>
        <v>6093.083333333333</v>
      </c>
      <c r="G238" s="4">
        <f>73117/12</f>
        <v>6093.083333333333</v>
      </c>
      <c r="H238" s="4">
        <f>75310/12</f>
        <v>6275.833333333333</v>
      </c>
      <c r="I238" s="4">
        <f>75310/12</f>
        <v>6275.833333333333</v>
      </c>
      <c r="J238" s="4">
        <f>77569/12</f>
        <v>6464.083333333333</v>
      </c>
      <c r="K238" s="4">
        <f>77569/12</f>
        <v>6464.083333333333</v>
      </c>
      <c r="L238" s="4">
        <f>77569/12</f>
        <v>6464.083333333333</v>
      </c>
      <c r="M238" s="4">
        <f>84426/12</f>
        <v>7035.5</v>
      </c>
      <c r="N238" s="4">
        <f>84426/12</f>
        <v>7035.5</v>
      </c>
      <c r="O238" s="4">
        <f>86959/12</f>
        <v>7246.583333333333</v>
      </c>
      <c r="P238" s="4">
        <f>86959/12</f>
        <v>7246.583333333333</v>
      </c>
      <c r="Q238" s="4">
        <f>86959/12</f>
        <v>7246.583333333333</v>
      </c>
      <c r="R238" s="4">
        <f>89568/12</f>
        <v>7464</v>
      </c>
      <c r="S238" s="4">
        <f>89568/12</f>
        <v>7464</v>
      </c>
      <c r="T238" s="4">
        <f>92255/12</f>
        <v>7687.916666666667</v>
      </c>
      <c r="U238" s="4">
        <f>92255/12</f>
        <v>7687.916666666667</v>
      </c>
      <c r="V238" s="4">
        <f>92255/12</f>
        <v>7687.916666666667</v>
      </c>
      <c r="W238" s="4">
        <f>95022/12</f>
        <v>7918.5</v>
      </c>
      <c r="X238" s="4">
        <f>95022/12</f>
        <v>7918.5</v>
      </c>
      <c r="Y238" s="4">
        <f>95022/12</f>
        <v>7918.5</v>
      </c>
      <c r="Z238" s="4">
        <f>97873/12</f>
        <v>8156.083333333333</v>
      </c>
      <c r="AA238" s="4">
        <f>97873/12</f>
        <v>8156.083333333333</v>
      </c>
      <c r="AB238" s="4">
        <f>99933/12</f>
        <v>8327.75</v>
      </c>
      <c r="AC238" s="5" t="s">
        <v>484</v>
      </c>
    </row>
    <row r="239" spans="1:29" ht="15.5" x14ac:dyDescent="0.35">
      <c r="A239" s="2" t="s">
        <v>486</v>
      </c>
      <c r="B239" s="1" t="s">
        <v>487</v>
      </c>
      <c r="C239" s="4">
        <f>85729/12</f>
        <v>7144.083333333333</v>
      </c>
      <c r="D239" s="4">
        <f>88301/12</f>
        <v>7358.416666666667</v>
      </c>
      <c r="E239" s="4">
        <f>88301/12</f>
        <v>7358.416666666667</v>
      </c>
      <c r="F239" s="4">
        <f>90950/12</f>
        <v>7579.166666666667</v>
      </c>
      <c r="G239" s="4">
        <f>90950/12</f>
        <v>7579.166666666667</v>
      </c>
      <c r="H239" s="4">
        <f>93678/12</f>
        <v>7806.5</v>
      </c>
      <c r="I239" s="4">
        <f>93678/12</f>
        <v>7806.5</v>
      </c>
      <c r="J239" s="4">
        <f>96489/12</f>
        <v>8040.75</v>
      </c>
      <c r="K239" s="4">
        <f>96489/12</f>
        <v>8040.75</v>
      </c>
      <c r="L239" s="4">
        <f>96489/12</f>
        <v>8040.75</v>
      </c>
      <c r="M239" s="4">
        <f>105018/12</f>
        <v>8751.5</v>
      </c>
      <c r="N239" s="4">
        <f>105018/12</f>
        <v>8751.5</v>
      </c>
      <c r="O239" s="4">
        <f>108169/12</f>
        <v>9014.0833333333339</v>
      </c>
      <c r="P239" s="4">
        <f>108169/12</f>
        <v>9014.0833333333339</v>
      </c>
      <c r="Q239" s="4">
        <f>108169/12</f>
        <v>9014.0833333333339</v>
      </c>
      <c r="R239" s="4">
        <f>111414/12</f>
        <v>9284.5</v>
      </c>
      <c r="S239" s="4">
        <f>111414/12</f>
        <v>9284.5</v>
      </c>
      <c r="T239" s="4">
        <f>114756/12</f>
        <v>9563</v>
      </c>
      <c r="U239" s="4">
        <f>114756/12</f>
        <v>9563</v>
      </c>
      <c r="V239" s="4">
        <f>114756/12</f>
        <v>9563</v>
      </c>
      <c r="W239" s="4">
        <f>118199/12</f>
        <v>9849.9166666666661</v>
      </c>
      <c r="X239" s="4">
        <f>118199/12</f>
        <v>9849.9166666666661</v>
      </c>
      <c r="Y239" s="4">
        <f>118199/12</f>
        <v>9849.9166666666661</v>
      </c>
      <c r="Z239" s="4">
        <f>121745/12</f>
        <v>10145.416666666666</v>
      </c>
      <c r="AA239" s="4">
        <f>121745/12</f>
        <v>10145.416666666666</v>
      </c>
      <c r="AB239" s="4">
        <f>124307/12</f>
        <v>10358.916666666666</v>
      </c>
      <c r="AC239" s="5" t="s">
        <v>486</v>
      </c>
    </row>
    <row r="240" spans="1:29" ht="15.5" x14ac:dyDescent="0.35">
      <c r="A240" s="2" t="s">
        <v>488</v>
      </c>
      <c r="B240" s="1" t="s">
        <v>489</v>
      </c>
      <c r="C240" s="4">
        <f>103317/12</f>
        <v>8609.75</v>
      </c>
      <c r="D240" s="4">
        <f>106417/12</f>
        <v>8868.0833333333339</v>
      </c>
      <c r="E240" s="4">
        <f>106417/12</f>
        <v>8868.0833333333339</v>
      </c>
      <c r="F240" s="4">
        <f>109609/12</f>
        <v>9134.0833333333339</v>
      </c>
      <c r="G240" s="4">
        <f>109609/12</f>
        <v>9134.0833333333339</v>
      </c>
      <c r="H240" s="4">
        <f>112898/12</f>
        <v>9408.1666666666661</v>
      </c>
      <c r="I240" s="4">
        <f>112898/12</f>
        <v>9408.1666666666661</v>
      </c>
      <c r="J240" s="4">
        <f>116284/12</f>
        <v>9690.3333333333339</v>
      </c>
      <c r="K240" s="4">
        <f>116284/12</f>
        <v>9690.3333333333339</v>
      </c>
      <c r="L240" s="4">
        <f>116284/12</f>
        <v>9690.3333333333339</v>
      </c>
      <c r="M240" s="4">
        <f>126564/12</f>
        <v>10547</v>
      </c>
      <c r="N240" s="4">
        <f>126564/12</f>
        <v>10547</v>
      </c>
      <c r="O240" s="4">
        <f>130361/12</f>
        <v>10863.416666666666</v>
      </c>
      <c r="P240" s="4">
        <f>130361/12</f>
        <v>10863.416666666666</v>
      </c>
      <c r="Q240" s="4">
        <f>130361/12</f>
        <v>10863.416666666666</v>
      </c>
      <c r="R240" s="4">
        <f>134271/12</f>
        <v>11189.25</v>
      </c>
      <c r="S240" s="4">
        <f>134271/12</f>
        <v>11189.25</v>
      </c>
      <c r="T240" s="4">
        <f>138299/12</f>
        <v>11524.916666666666</v>
      </c>
      <c r="U240" s="4">
        <f>138299/12</f>
        <v>11524.916666666666</v>
      </c>
      <c r="V240" s="4">
        <f>138299/12</f>
        <v>11524.916666666666</v>
      </c>
      <c r="W240" s="4">
        <f>142448/12</f>
        <v>11870.666666666666</v>
      </c>
      <c r="X240" s="4">
        <f>142448/12</f>
        <v>11870.666666666666</v>
      </c>
      <c r="Y240" s="4">
        <f>142448/12</f>
        <v>11870.666666666666</v>
      </c>
      <c r="Z240" s="4">
        <f>146722/12</f>
        <v>12226.833333333334</v>
      </c>
      <c r="AA240" s="4">
        <f>146722/12</f>
        <v>12226.833333333334</v>
      </c>
      <c r="AB240" s="4">
        <f>149810/12</f>
        <v>12484.166666666666</v>
      </c>
      <c r="AC240" s="5" t="s">
        <v>488</v>
      </c>
    </row>
    <row r="241" spans="1:29" ht="15.5" x14ac:dyDescent="0.35">
      <c r="A241" s="2" t="s">
        <v>490</v>
      </c>
      <c r="B241" s="1" t="s">
        <v>491</v>
      </c>
      <c r="C241" s="4">
        <f>70934/12</f>
        <v>5911.166666666667</v>
      </c>
      <c r="D241" s="4">
        <f>73062/12</f>
        <v>6088.5</v>
      </c>
      <c r="E241" s="4">
        <f>73062/12</f>
        <v>6088.5</v>
      </c>
      <c r="F241" s="4">
        <f>75254/12</f>
        <v>6271.166666666667</v>
      </c>
      <c r="G241" s="4">
        <f>75254/12</f>
        <v>6271.166666666667</v>
      </c>
      <c r="H241" s="4">
        <f>77512/12</f>
        <v>6459.333333333333</v>
      </c>
      <c r="I241" s="4">
        <f>77512/12</f>
        <v>6459.333333333333</v>
      </c>
      <c r="J241" s="4">
        <f>79837/12</f>
        <v>6653.083333333333</v>
      </c>
      <c r="K241" s="4">
        <f>79837/12</f>
        <v>6653.083333333333</v>
      </c>
      <c r="L241" s="4">
        <f>79837/12</f>
        <v>6653.083333333333</v>
      </c>
      <c r="M241" s="4">
        <f>86894/12</f>
        <v>7241.166666666667</v>
      </c>
      <c r="N241" s="4">
        <f>86894/12</f>
        <v>7241.166666666667</v>
      </c>
      <c r="O241" s="4">
        <f>89501/12</f>
        <v>7458.416666666667</v>
      </c>
      <c r="P241" s="4">
        <f>89501/12</f>
        <v>7458.416666666667</v>
      </c>
      <c r="Q241" s="4">
        <f>89501/12</f>
        <v>7458.416666666667</v>
      </c>
      <c r="R241" s="4">
        <f>92186/12</f>
        <v>7682.166666666667</v>
      </c>
      <c r="S241" s="4">
        <f>92186/12</f>
        <v>7682.166666666667</v>
      </c>
      <c r="T241" s="4">
        <f>94952/12</f>
        <v>7912.666666666667</v>
      </c>
      <c r="U241" s="4">
        <f>94952/12</f>
        <v>7912.666666666667</v>
      </c>
      <c r="V241" s="4">
        <f>94952/12</f>
        <v>7912.666666666667</v>
      </c>
      <c r="W241" s="4">
        <f>97800/12</f>
        <v>8150</v>
      </c>
      <c r="X241" s="4">
        <f>97800/12</f>
        <v>8150</v>
      </c>
      <c r="Y241" s="4">
        <f>97800/12</f>
        <v>8150</v>
      </c>
      <c r="Z241" s="4">
        <f>100734/12</f>
        <v>8394.5</v>
      </c>
      <c r="AA241" s="4">
        <f>100734/12</f>
        <v>8394.5</v>
      </c>
      <c r="AB241" s="4">
        <f>102854/12</f>
        <v>8571.1666666666661</v>
      </c>
      <c r="AC241" s="5" t="s">
        <v>490</v>
      </c>
    </row>
    <row r="242" spans="1:29" ht="15.5" x14ac:dyDescent="0.35">
      <c r="A242" s="2" t="s">
        <v>492</v>
      </c>
      <c r="B242" s="1" t="s">
        <v>493</v>
      </c>
      <c r="C242" s="4">
        <f>85791/12</f>
        <v>7149.25</v>
      </c>
      <c r="D242" s="4">
        <f>88364/12</f>
        <v>7363.666666666667</v>
      </c>
      <c r="E242" s="4">
        <f>88364/12</f>
        <v>7363.666666666667</v>
      </c>
      <c r="F242" s="4">
        <f>91015/12</f>
        <v>7584.583333333333</v>
      </c>
      <c r="G242" s="4">
        <f>91015/12</f>
        <v>7584.583333333333</v>
      </c>
      <c r="H242" s="4">
        <f>93746/12</f>
        <v>7812.166666666667</v>
      </c>
      <c r="I242" s="4">
        <f>93746/12</f>
        <v>7812.166666666667</v>
      </c>
      <c r="J242" s="4">
        <f>96558/12</f>
        <v>8046.5</v>
      </c>
      <c r="K242" s="4">
        <f>96558/12</f>
        <v>8046.5</v>
      </c>
      <c r="L242" s="4">
        <f>96558/12</f>
        <v>8046.5</v>
      </c>
      <c r="M242" s="4">
        <f>105094/12</f>
        <v>8757.8333333333339</v>
      </c>
      <c r="N242" s="4">
        <f>105094/12</f>
        <v>8757.8333333333339</v>
      </c>
      <c r="O242" s="4">
        <f>108246/12</f>
        <v>9020.5</v>
      </c>
      <c r="P242" s="4">
        <f>108246/12</f>
        <v>9020.5</v>
      </c>
      <c r="Q242" s="4">
        <f>108246/12</f>
        <v>9020.5</v>
      </c>
      <c r="R242" s="4">
        <f>111494/12</f>
        <v>9291.1666666666661</v>
      </c>
      <c r="S242" s="4">
        <f>111494/12</f>
        <v>9291.1666666666661</v>
      </c>
      <c r="T242" s="4">
        <f>114839/12</f>
        <v>9569.9166666666661</v>
      </c>
      <c r="U242" s="4">
        <f>114839/12</f>
        <v>9569.9166666666661</v>
      </c>
      <c r="V242" s="4">
        <f>114839/12</f>
        <v>9569.9166666666661</v>
      </c>
      <c r="W242" s="4">
        <f>118284/12</f>
        <v>9857</v>
      </c>
      <c r="X242" s="4">
        <f>118284/12</f>
        <v>9857</v>
      </c>
      <c r="Y242" s="4">
        <f>118284/12</f>
        <v>9857</v>
      </c>
      <c r="Z242" s="4">
        <f>121832/12</f>
        <v>10152.666666666666</v>
      </c>
      <c r="AA242" s="4">
        <f>121832/12</f>
        <v>10152.666666666666</v>
      </c>
      <c r="AB242" s="4">
        <f>124397/12</f>
        <v>10366.416666666666</v>
      </c>
      <c r="AC242" s="5" t="s">
        <v>492</v>
      </c>
    </row>
    <row r="243" spans="1:29" ht="15.5" x14ac:dyDescent="0.35">
      <c r="A243" s="2" t="s">
        <v>494</v>
      </c>
      <c r="B243" s="1" t="s">
        <v>495</v>
      </c>
      <c r="C243" s="4">
        <f>63926/12</f>
        <v>5327.166666666667</v>
      </c>
      <c r="D243" s="4">
        <f>65844/12</f>
        <v>5487</v>
      </c>
      <c r="E243" s="4">
        <f>65844/12</f>
        <v>5487</v>
      </c>
      <c r="F243" s="4">
        <f>67819/12</f>
        <v>5651.583333333333</v>
      </c>
      <c r="G243" s="4">
        <f>67819/12</f>
        <v>5651.583333333333</v>
      </c>
      <c r="H243" s="4">
        <f>69854/12</f>
        <v>5821.166666666667</v>
      </c>
      <c r="I243" s="4">
        <f>69854/12</f>
        <v>5821.166666666667</v>
      </c>
      <c r="J243" s="4">
        <f>71949/12</f>
        <v>5995.75</v>
      </c>
      <c r="K243" s="4">
        <f>71949/12</f>
        <v>5995.75</v>
      </c>
      <c r="L243" s="4">
        <f>71949/12</f>
        <v>5995.75</v>
      </c>
      <c r="M243" s="4">
        <f>78511/12</f>
        <v>6542.583333333333</v>
      </c>
      <c r="N243" s="4">
        <f>78511/12</f>
        <v>6542.583333333333</v>
      </c>
      <c r="O243" s="4">
        <f>80866/12</f>
        <v>6738.833333333333</v>
      </c>
      <c r="P243" s="4">
        <f>80866/12</f>
        <v>6738.833333333333</v>
      </c>
      <c r="Q243" s="4">
        <f>80866/12</f>
        <v>6738.833333333333</v>
      </c>
      <c r="R243" s="4">
        <f>83292/12</f>
        <v>6941</v>
      </c>
      <c r="S243" s="4">
        <f>83292/12</f>
        <v>6941</v>
      </c>
      <c r="T243" s="4">
        <f>85791/12</f>
        <v>7149.25</v>
      </c>
      <c r="U243" s="4">
        <f>85791/12</f>
        <v>7149.25</v>
      </c>
      <c r="V243" s="4">
        <f>85791/12</f>
        <v>7149.25</v>
      </c>
      <c r="W243" s="4">
        <f>88365/12</f>
        <v>7363.75</v>
      </c>
      <c r="X243" s="4">
        <f>88365/12</f>
        <v>7363.75</v>
      </c>
      <c r="Y243" s="4">
        <f>88365/12</f>
        <v>7363.75</v>
      </c>
      <c r="Z243" s="4">
        <f>91016/12</f>
        <v>7584.666666666667</v>
      </c>
      <c r="AA243" s="4">
        <f>91016/12</f>
        <v>7584.666666666667</v>
      </c>
      <c r="AB243" s="4">
        <f>93096/12</f>
        <v>7758</v>
      </c>
      <c r="AC243" s="5" t="s">
        <v>494</v>
      </c>
    </row>
    <row r="244" spans="1:29" ht="15.5" x14ac:dyDescent="0.35">
      <c r="A244" s="2" t="s">
        <v>496</v>
      </c>
      <c r="B244" s="1" t="s">
        <v>497</v>
      </c>
      <c r="C244" s="4">
        <f>74345/12</f>
        <v>6195.416666666667</v>
      </c>
      <c r="D244" s="4">
        <f>76575/12</f>
        <v>6381.25</v>
      </c>
      <c r="E244" s="4">
        <f>76575/12</f>
        <v>6381.25</v>
      </c>
      <c r="F244" s="4">
        <f>78873/12</f>
        <v>6572.75</v>
      </c>
      <c r="G244" s="4">
        <f>78873/12</f>
        <v>6572.75</v>
      </c>
      <c r="H244" s="4">
        <f>81239/12</f>
        <v>6769.916666666667</v>
      </c>
      <c r="I244" s="4">
        <f>81239/12</f>
        <v>6769.916666666667</v>
      </c>
      <c r="J244" s="4">
        <f>83676/12</f>
        <v>6973</v>
      </c>
      <c r="K244" s="4">
        <f>83676/12</f>
        <v>6973</v>
      </c>
      <c r="L244" s="4">
        <f>83676/12</f>
        <v>6973</v>
      </c>
      <c r="M244" s="4">
        <f>91073/12</f>
        <v>7589.416666666667</v>
      </c>
      <c r="N244" s="4">
        <f>91073/12</f>
        <v>7589.416666666667</v>
      </c>
      <c r="O244" s="4">
        <f>93805/12</f>
        <v>7817.083333333333</v>
      </c>
      <c r="P244" s="4">
        <f>93805/12</f>
        <v>7817.083333333333</v>
      </c>
      <c r="Q244" s="4">
        <f>93805/12</f>
        <v>7817.083333333333</v>
      </c>
      <c r="R244" s="4">
        <f>96619/12</f>
        <v>8051.583333333333</v>
      </c>
      <c r="S244" s="4">
        <f>96619/12</f>
        <v>8051.583333333333</v>
      </c>
      <c r="T244" s="4">
        <f>99518/12</f>
        <v>8293.1666666666661</v>
      </c>
      <c r="U244" s="4">
        <f>99518/12</f>
        <v>8293.1666666666661</v>
      </c>
      <c r="V244" s="4">
        <f>99518/12</f>
        <v>8293.1666666666661</v>
      </c>
      <c r="W244" s="4">
        <f>102503/12</f>
        <v>8541.9166666666661</v>
      </c>
      <c r="X244" s="4">
        <f>102503/12</f>
        <v>8541.9166666666661</v>
      </c>
      <c r="Y244" s="4">
        <f>102503/12</f>
        <v>8541.9166666666661</v>
      </c>
      <c r="Z244" s="4">
        <f>105578/12</f>
        <v>8798.1666666666661</v>
      </c>
      <c r="AA244" s="4">
        <f>105578/12</f>
        <v>8798.1666666666661</v>
      </c>
      <c r="AB244" s="4">
        <f>107800/12</f>
        <v>8983.3333333333339</v>
      </c>
      <c r="AC244" s="5" t="s">
        <v>496</v>
      </c>
    </row>
    <row r="245" spans="1:29" ht="15.5" x14ac:dyDescent="0.35">
      <c r="A245" s="7" t="s">
        <v>525</v>
      </c>
      <c r="B245" s="3" t="s">
        <v>526</v>
      </c>
      <c r="C245" s="8">
        <f>85113/12</f>
        <v>7092.75</v>
      </c>
      <c r="D245" s="8">
        <f>87666/12</f>
        <v>7305.5</v>
      </c>
      <c r="E245" s="8">
        <f>87666/12</f>
        <v>7305.5</v>
      </c>
      <c r="F245" s="8">
        <f>90296/12</f>
        <v>7524.666666666667</v>
      </c>
      <c r="G245" s="8">
        <f>90296/12</f>
        <v>7524.666666666667</v>
      </c>
      <c r="H245" s="8">
        <f>93005/12</f>
        <v>7750.416666666667</v>
      </c>
      <c r="I245" s="8">
        <f>93005/12</f>
        <v>7750.416666666667</v>
      </c>
      <c r="J245" s="8">
        <f>95795/12</f>
        <v>7982.916666666667</v>
      </c>
      <c r="K245" s="8">
        <f>95795/12</f>
        <v>7982.916666666667</v>
      </c>
      <c r="L245" s="8">
        <f>95795/12</f>
        <v>7982.916666666667</v>
      </c>
      <c r="M245" s="8">
        <f>104263/12</f>
        <v>8688.5833333333339</v>
      </c>
      <c r="N245" s="8">
        <f>104263/12</f>
        <v>8688.5833333333339</v>
      </c>
      <c r="O245" s="8">
        <f>107391/12</f>
        <v>8949.25</v>
      </c>
      <c r="P245" s="8">
        <f>107391/12</f>
        <v>8949.25</v>
      </c>
      <c r="Q245" s="8">
        <f>107391/12</f>
        <v>8949.25</v>
      </c>
      <c r="R245" s="8">
        <f>110613/12</f>
        <v>9217.75</v>
      </c>
      <c r="S245" s="8">
        <f>110613/12</f>
        <v>9217.75</v>
      </c>
      <c r="T245" s="8">
        <f>113931/12</f>
        <v>9494.25</v>
      </c>
      <c r="U245" s="8">
        <f>113931/12</f>
        <v>9494.25</v>
      </c>
      <c r="V245" s="8">
        <f>113931/12</f>
        <v>9494.25</v>
      </c>
      <c r="W245" s="8">
        <f>117349/12</f>
        <v>9779.0833333333339</v>
      </c>
      <c r="X245" s="8">
        <f>117349/12</f>
        <v>9779.0833333333339</v>
      </c>
      <c r="Y245" s="8">
        <f>117349/12</f>
        <v>9779.0833333333339</v>
      </c>
      <c r="Z245" s="8">
        <f>120870/12</f>
        <v>10072.5</v>
      </c>
      <c r="AA245" s="8">
        <f>120870/12</f>
        <v>10072.5</v>
      </c>
      <c r="AB245" s="8">
        <f>123414/12</f>
        <v>10284.5</v>
      </c>
      <c r="AC245" s="9" t="s">
        <v>514</v>
      </c>
    </row>
    <row r="246" spans="1:29" ht="15" customHeight="1" x14ac:dyDescent="0.35">
      <c r="A246" s="7" t="s">
        <v>498</v>
      </c>
      <c r="B246" s="3" t="s">
        <v>499</v>
      </c>
      <c r="C246" s="8">
        <f>66917/12</f>
        <v>5576.416666666667</v>
      </c>
      <c r="D246" s="8">
        <f>68925/12</f>
        <v>5743.75</v>
      </c>
      <c r="E246" s="8">
        <f>68925/12</f>
        <v>5743.75</v>
      </c>
      <c r="F246" s="8">
        <f>70992/12</f>
        <v>5916</v>
      </c>
      <c r="G246" s="8">
        <f>70992/12</f>
        <v>5916</v>
      </c>
      <c r="H246" s="8">
        <f>73122/12</f>
        <v>6093.5</v>
      </c>
      <c r="I246" s="8">
        <f>73122/12</f>
        <v>6093.5</v>
      </c>
      <c r="J246" s="8">
        <f>75316/12</f>
        <v>6276.333333333333</v>
      </c>
      <c r="K246" s="8">
        <f>75316/12</f>
        <v>6276.333333333333</v>
      </c>
      <c r="L246" s="8">
        <f>75316/12</f>
        <v>6276.333333333333</v>
      </c>
      <c r="M246" s="8">
        <f>81973/12</f>
        <v>6831.083333333333</v>
      </c>
      <c r="N246" s="8">
        <f>81973/12</f>
        <v>6831.083333333333</v>
      </c>
      <c r="O246" s="8">
        <f>84433/12</f>
        <v>7036.083333333333</v>
      </c>
      <c r="P246" s="8">
        <f>84433/12</f>
        <v>7036.083333333333</v>
      </c>
      <c r="Q246" s="8">
        <f>84433/12</f>
        <v>7036.083333333333</v>
      </c>
      <c r="R246" s="8">
        <f>86966/12</f>
        <v>7247.166666666667</v>
      </c>
      <c r="S246" s="8">
        <f>86966/12</f>
        <v>7247.166666666667</v>
      </c>
      <c r="T246" s="8">
        <f>89575/12</f>
        <v>7464.583333333333</v>
      </c>
      <c r="U246" s="8">
        <f>89575/12</f>
        <v>7464.583333333333</v>
      </c>
      <c r="V246" s="8">
        <f>89575/12</f>
        <v>7464.583333333333</v>
      </c>
      <c r="W246" s="8">
        <f>92262/12</f>
        <v>7688.5</v>
      </c>
      <c r="X246" s="8">
        <f>92262/12</f>
        <v>7688.5</v>
      </c>
      <c r="Y246" s="8">
        <f>92262/12</f>
        <v>7688.5</v>
      </c>
      <c r="Z246" s="8">
        <f>95030/12</f>
        <v>7919.166666666667</v>
      </c>
      <c r="AA246" s="8">
        <f>95030/12</f>
        <v>7919.166666666667</v>
      </c>
      <c r="AB246" s="8">
        <f>97030/12</f>
        <v>8085.833333333333</v>
      </c>
      <c r="AC246" s="9" t="s">
        <v>500</v>
      </c>
    </row>
    <row r="247" spans="1:29" ht="15" customHeight="1" x14ac:dyDescent="0.35">
      <c r="A247" s="7" t="s">
        <v>501</v>
      </c>
      <c r="B247" s="3" t="s">
        <v>502</v>
      </c>
      <c r="C247" s="8">
        <f>73888/12</f>
        <v>6157.333333333333</v>
      </c>
      <c r="D247" s="8">
        <f>76105/12</f>
        <v>6342.083333333333</v>
      </c>
      <c r="E247" s="8">
        <f>76105/12</f>
        <v>6342.083333333333</v>
      </c>
      <c r="F247" s="8">
        <f>78388/12</f>
        <v>6532.333333333333</v>
      </c>
      <c r="G247" s="8">
        <f>78388/12</f>
        <v>6532.333333333333</v>
      </c>
      <c r="H247" s="8">
        <f>80739/12</f>
        <v>6728.25</v>
      </c>
      <c r="I247" s="8">
        <f>80739/12</f>
        <v>6728.25</v>
      </c>
      <c r="J247" s="8">
        <f>83162/12</f>
        <v>6930.166666666667</v>
      </c>
      <c r="K247" s="8">
        <f>83162/12</f>
        <v>6930.166666666667</v>
      </c>
      <c r="L247" s="8">
        <f>83162/12</f>
        <v>6930.166666666667</v>
      </c>
      <c r="M247" s="8">
        <f>90513/12</f>
        <v>7542.75</v>
      </c>
      <c r="N247" s="8">
        <f>90513/12</f>
        <v>7542.75</v>
      </c>
      <c r="O247" s="8">
        <f>93228/12</f>
        <v>7769</v>
      </c>
      <c r="P247" s="8">
        <f>93228/12</f>
        <v>7769</v>
      </c>
      <c r="Q247" s="8">
        <f>93228/12</f>
        <v>7769</v>
      </c>
      <c r="R247" s="8">
        <f>96025/12</f>
        <v>8002.083333333333</v>
      </c>
      <c r="S247" s="8">
        <f>96025/12</f>
        <v>8002.083333333333</v>
      </c>
      <c r="T247" s="8">
        <f>98906/12</f>
        <v>8242.1666666666661</v>
      </c>
      <c r="U247" s="8">
        <f>98906/12</f>
        <v>8242.1666666666661</v>
      </c>
      <c r="V247" s="8">
        <f>98906/12</f>
        <v>8242.1666666666661</v>
      </c>
      <c r="W247" s="8">
        <f>101873/12</f>
        <v>8489.4166666666661</v>
      </c>
      <c r="X247" s="8">
        <f>101873/12</f>
        <v>8489.4166666666661</v>
      </c>
      <c r="Y247" s="8">
        <f>101873/12</f>
        <v>8489.4166666666661</v>
      </c>
      <c r="Z247" s="8">
        <f>104929/12</f>
        <v>8744.0833333333339</v>
      </c>
      <c r="AA247" s="8">
        <f>104929/12</f>
        <v>8744.0833333333339</v>
      </c>
      <c r="AB247" s="8">
        <f>107138/12</f>
        <v>8928.1666666666661</v>
      </c>
      <c r="AC247" s="9" t="s">
        <v>503</v>
      </c>
    </row>
    <row r="248" spans="1:29" ht="15" customHeight="1" x14ac:dyDescent="0.35">
      <c r="A248" s="7" t="s">
        <v>504</v>
      </c>
      <c r="B248" s="3" t="s">
        <v>505</v>
      </c>
      <c r="C248" s="8">
        <f>53486/12</f>
        <v>4457.166666666667</v>
      </c>
      <c r="D248" s="8">
        <f>55090/12</f>
        <v>4590.833333333333</v>
      </c>
      <c r="E248" s="8">
        <f>55090/12</f>
        <v>4590.833333333333</v>
      </c>
      <c r="F248" s="8">
        <f>56743/12</f>
        <v>4728.583333333333</v>
      </c>
      <c r="G248" s="8">
        <f>56743/12</f>
        <v>4728.583333333333</v>
      </c>
      <c r="H248" s="8">
        <f>58446/12</f>
        <v>4870.5</v>
      </c>
      <c r="I248" s="8">
        <f>58446/12</f>
        <v>4870.5</v>
      </c>
      <c r="J248" s="8">
        <f>60199/12</f>
        <v>5016.583333333333</v>
      </c>
      <c r="K248" s="8">
        <f>60199/12</f>
        <v>5016.583333333333</v>
      </c>
      <c r="L248" s="8">
        <f>60199/12</f>
        <v>5016.583333333333</v>
      </c>
      <c r="M248" s="8">
        <f>65520/12</f>
        <v>5460</v>
      </c>
      <c r="N248" s="8">
        <f>65520/12</f>
        <v>5460</v>
      </c>
      <c r="O248" s="8">
        <f>67486/12</f>
        <v>5623.833333333333</v>
      </c>
      <c r="P248" s="8">
        <f>67486/12</f>
        <v>5623.833333333333</v>
      </c>
      <c r="Q248" s="8">
        <f>67486/12</f>
        <v>5623.833333333333</v>
      </c>
      <c r="R248" s="8">
        <f>69510/12</f>
        <v>5792.5</v>
      </c>
      <c r="S248" s="8">
        <f>69510/12</f>
        <v>5792.5</v>
      </c>
      <c r="T248" s="8">
        <f>71596/12</f>
        <v>5966.333333333333</v>
      </c>
      <c r="U248" s="8">
        <f>71596/12</f>
        <v>5966.333333333333</v>
      </c>
      <c r="V248" s="8">
        <f>71596/12</f>
        <v>5966.333333333333</v>
      </c>
      <c r="W248" s="8">
        <f>73744/12</f>
        <v>6145.333333333333</v>
      </c>
      <c r="X248" s="8">
        <f>73744/12</f>
        <v>6145.333333333333</v>
      </c>
      <c r="Y248" s="8">
        <f>73744/12</f>
        <v>6145.333333333333</v>
      </c>
      <c r="Z248" s="8">
        <f>75956/12</f>
        <v>6329.666666666667</v>
      </c>
      <c r="AA248" s="8">
        <f>75956/12</f>
        <v>6329.666666666667</v>
      </c>
      <c r="AB248" s="8">
        <f>77555/12</f>
        <v>6462.916666666667</v>
      </c>
      <c r="AC248" s="9" t="s">
        <v>506</v>
      </c>
    </row>
    <row r="249" spans="1:29" ht="15" customHeight="1" x14ac:dyDescent="0.35">
      <c r="A249" s="7" t="s">
        <v>516</v>
      </c>
      <c r="B249" s="3" t="s">
        <v>517</v>
      </c>
      <c r="C249" s="8">
        <f>72980/12</f>
        <v>6081.666666666667</v>
      </c>
      <c r="D249" s="8">
        <f>75169/12</f>
        <v>6264.083333333333</v>
      </c>
      <c r="E249" s="8">
        <f>75169/12</f>
        <v>6264.083333333333</v>
      </c>
      <c r="F249" s="8">
        <f>77424/12</f>
        <v>6452</v>
      </c>
      <c r="G249" s="8">
        <f>77424/12</f>
        <v>6452</v>
      </c>
      <c r="H249" s="8">
        <f>79747/12</f>
        <v>6645.583333333333</v>
      </c>
      <c r="I249" s="8">
        <f>79747/12</f>
        <v>6645.583333333333</v>
      </c>
      <c r="J249" s="8">
        <f>82140/12</f>
        <v>6845</v>
      </c>
      <c r="K249" s="8">
        <f>82140/12</f>
        <v>6845</v>
      </c>
      <c r="L249" s="8">
        <f>82140/12</f>
        <v>6845</v>
      </c>
      <c r="M249" s="8">
        <f>89401/12</f>
        <v>7450.083333333333</v>
      </c>
      <c r="N249" s="8">
        <f>89401/12</f>
        <v>7450.083333333333</v>
      </c>
      <c r="O249" s="8">
        <f>92083/12</f>
        <v>7673.583333333333</v>
      </c>
      <c r="P249" s="8">
        <f>92083/12</f>
        <v>7673.583333333333</v>
      </c>
      <c r="Q249" s="8">
        <f>92083/12</f>
        <v>7673.583333333333</v>
      </c>
      <c r="R249" s="8">
        <f>94845/12</f>
        <v>7903.75</v>
      </c>
      <c r="S249" s="8">
        <f>94845/12</f>
        <v>7903.75</v>
      </c>
      <c r="T249" s="8">
        <f>97690/12</f>
        <v>8140.833333333333</v>
      </c>
      <c r="U249" s="8">
        <f>97690/12</f>
        <v>8140.833333333333</v>
      </c>
      <c r="V249" s="8">
        <f>97690/12</f>
        <v>8140.833333333333</v>
      </c>
      <c r="W249" s="8">
        <f>100621/12</f>
        <v>8385.0833333333339</v>
      </c>
      <c r="X249" s="8">
        <f>100621/12</f>
        <v>8385.0833333333339</v>
      </c>
      <c r="Y249" s="8">
        <f>100621/12</f>
        <v>8385.0833333333339</v>
      </c>
      <c r="Z249" s="8">
        <f>103640/12</f>
        <v>8636.6666666666661</v>
      </c>
      <c r="AA249" s="8">
        <f>103640/12</f>
        <v>8636.6666666666661</v>
      </c>
      <c r="AB249" s="8">
        <f>105821/12</f>
        <v>8818.4166666666661</v>
      </c>
      <c r="AC249" s="9" t="s">
        <v>514</v>
      </c>
    </row>
    <row r="269" spans="3:3" ht="15" customHeight="1" x14ac:dyDescent="0.35">
      <c r="C269">
        <v>12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96977d7-02cc-4e7f-8208-eb28474de74f">
      <Terms xmlns="http://schemas.microsoft.com/office/infopath/2007/PartnerControls"/>
    </lcf76f155ced4ddcb4097134ff3c332f>
    <TaxCatchAll xmlns="413c81f9-be3b-4d9f-b474-eb653c09febd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171B519B1394E469A11D824D9834521" ma:contentTypeVersion="14" ma:contentTypeDescription="Create a new document." ma:contentTypeScope="" ma:versionID="66830fb55ae52232749447231b65a844">
  <xsd:schema xmlns:xsd="http://www.w3.org/2001/XMLSchema" xmlns:xs="http://www.w3.org/2001/XMLSchema" xmlns:p="http://schemas.microsoft.com/office/2006/metadata/properties" xmlns:ns2="396977d7-02cc-4e7f-8208-eb28474de74f" xmlns:ns3="413c81f9-be3b-4d9f-b474-eb653c09febd" targetNamespace="http://schemas.microsoft.com/office/2006/metadata/properties" ma:root="true" ma:fieldsID="05c7e07f862507d93bef4df050b5973b" ns2:_="" ns3:_="">
    <xsd:import namespace="396977d7-02cc-4e7f-8208-eb28474de74f"/>
    <xsd:import namespace="413c81f9-be3b-4d9f-b474-eb653c09feb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6977d7-02cc-4e7f-8208-eb28474de74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4f0c4905-1f1a-4847-bb1c-f40b4d226de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3c81f9-be3b-4d9f-b474-eb653c09febd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be714277-4294-439f-bb44-0cefe7afbc5b}" ma:internalName="TaxCatchAll" ma:showField="CatchAllData" ma:web="413c81f9-be3b-4d9f-b474-eb653c09feb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203CB6E-C863-4C8F-B387-8EEDACD98195}">
  <ds:schemaRefs>
    <ds:schemaRef ds:uri="http://schemas.microsoft.com/office/2006/metadata/properties"/>
    <ds:schemaRef ds:uri="http://schemas.microsoft.com/office/infopath/2007/PartnerControls"/>
    <ds:schemaRef ds:uri="396977d7-02cc-4e7f-8208-eb28474de74f"/>
    <ds:schemaRef ds:uri="413c81f9-be3b-4d9f-b474-eb653c09febd"/>
  </ds:schemaRefs>
</ds:datastoreItem>
</file>

<file path=customXml/itemProps2.xml><?xml version="1.0" encoding="utf-8"?>
<ds:datastoreItem xmlns:ds="http://schemas.openxmlformats.org/officeDocument/2006/customXml" ds:itemID="{437BC2FF-25CD-44AA-9A9D-9EC7CB4DAE9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6C841B8-5ADD-4CC6-A012-2C7DBA2B9EE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96977d7-02cc-4e7f-8208-eb28474de74f"/>
    <ds:schemaRef ds:uri="413c81f9-be3b-4d9f-b474-eb653c09feb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Step Plan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jones, robert</dc:creator>
  <cp:keywords/>
  <dc:description/>
  <cp:lastModifiedBy>diaz, tony</cp:lastModifiedBy>
  <cp:revision/>
  <dcterms:created xsi:type="dcterms:W3CDTF">2015-06-05T18:17:20Z</dcterms:created>
  <dcterms:modified xsi:type="dcterms:W3CDTF">2025-08-08T19:07:02Z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0x0101006171B519B1394E469A11D824D9834521</vt:lpwstr>
  </property>
  <property fmtid="{D5CDD505-2E9C-101B-9397-08002B2CF9AE}" pid="3" name="MediaServiceImageTags">
    <vt:lpwstr/>
  </property>
</Properties>
</file>